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6\"/>
    </mc:Choice>
  </mc:AlternateContent>
  <xr:revisionPtr revIDLastSave="0" documentId="13_ncr:1_{29329F9F-725A-468C-9112-581DFFA186A1}" xr6:coauthVersionLast="47" xr6:coauthVersionMax="47" xr10:uidLastSave="{00000000-0000-0000-0000-000000000000}"/>
  <bookViews>
    <workbookView xWindow="28680" yWindow="-120" windowWidth="29040" windowHeight="15720" activeTab="9"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BV_Data_An_Cour!$A$1:$X$446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446" i="15" l="1"/>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P443" i="15"/>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N436" i="15"/>
  <c r="M436" i="15"/>
  <c r="L436" i="15"/>
  <c r="X436" i="15" s="1"/>
  <c r="V435" i="15"/>
  <c r="S435" i="15"/>
  <c r="R435" i="15"/>
  <c r="Q435" i="15"/>
  <c r="P435" i="15" s="1"/>
  <c r="M435" i="15"/>
  <c r="L435" i="15"/>
  <c r="X435" i="15" s="1"/>
  <c r="S434" i="15"/>
  <c r="R434" i="15"/>
  <c r="Q434" i="15"/>
  <c r="N434" i="15" s="1"/>
  <c r="O434" i="15"/>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O425" i="15"/>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V419" i="15"/>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P413" i="15"/>
  <c r="M413" i="15"/>
  <c r="L413" i="15"/>
  <c r="W413" i="15" s="1"/>
  <c r="S412" i="15"/>
  <c r="R412" i="15"/>
  <c r="Q412" i="15"/>
  <c r="N412" i="15" s="1"/>
  <c r="M412" i="15"/>
  <c r="L412" i="15"/>
  <c r="X412" i="15" s="1"/>
  <c r="W411" i="15"/>
  <c r="S411" i="15"/>
  <c r="R411" i="15"/>
  <c r="Q411" i="15"/>
  <c r="P411" i="15" s="1"/>
  <c r="O411" i="15"/>
  <c r="M411" i="15"/>
  <c r="L411" i="15"/>
  <c r="X411" i="15" s="1"/>
  <c r="S410" i="15"/>
  <c r="R410" i="15"/>
  <c r="Q410" i="15"/>
  <c r="N410" i="15" s="1"/>
  <c r="O410" i="15"/>
  <c r="M410" i="15"/>
  <c r="L410" i="15"/>
  <c r="X410" i="15" s="1"/>
  <c r="S409" i="15"/>
  <c r="R409" i="15"/>
  <c r="Q409" i="15"/>
  <c r="O409" i="15" s="1"/>
  <c r="P409" i="15"/>
  <c r="M409" i="15"/>
  <c r="L409" i="15"/>
  <c r="X409" i="15" s="1"/>
  <c r="S408" i="15"/>
  <c r="R408" i="15"/>
  <c r="Q408" i="15"/>
  <c r="P408" i="15" s="1"/>
  <c r="M408" i="15"/>
  <c r="L408" i="15"/>
  <c r="X408" i="15" s="1"/>
  <c r="S407" i="15"/>
  <c r="R407" i="15"/>
  <c r="Q407" i="15"/>
  <c r="N407" i="15" s="1"/>
  <c r="M407" i="15"/>
  <c r="L407" i="15"/>
  <c r="X407" i="15" s="1"/>
  <c r="S406" i="15"/>
  <c r="R406" i="15"/>
  <c r="Q406" i="15"/>
  <c r="N406" i="15" s="1"/>
  <c r="P406" i="15"/>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O398" i="15"/>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V391" i="15"/>
  <c r="S391" i="15"/>
  <c r="R391" i="15"/>
  <c r="Q391" i="15"/>
  <c r="P391" i="15" s="1"/>
  <c r="M391" i="15"/>
  <c r="L391" i="15"/>
  <c r="U391" i="15" s="1"/>
  <c r="S390" i="15"/>
  <c r="R390" i="15"/>
  <c r="Q390" i="15"/>
  <c r="P390" i="15" s="1"/>
  <c r="O390" i="15"/>
  <c r="M390" i="15"/>
  <c r="L390" i="15"/>
  <c r="V390" i="15" s="1"/>
  <c r="S389" i="15"/>
  <c r="R389" i="15"/>
  <c r="Q389" i="15"/>
  <c r="O389" i="15" s="1"/>
  <c r="M389" i="15"/>
  <c r="L389" i="15"/>
  <c r="W389" i="15" s="1"/>
  <c r="S388" i="15"/>
  <c r="R388" i="15"/>
  <c r="Q388" i="15"/>
  <c r="P388" i="15" s="1"/>
  <c r="M388" i="15"/>
  <c r="L388" i="15"/>
  <c r="X388" i="15" s="1"/>
  <c r="W387" i="15"/>
  <c r="U387" i="15"/>
  <c r="S387" i="15"/>
  <c r="R387" i="15"/>
  <c r="Q387" i="15"/>
  <c r="O387" i="15" s="1"/>
  <c r="P387" i="15"/>
  <c r="N387" i="15"/>
  <c r="M387" i="15"/>
  <c r="L387" i="15"/>
  <c r="X387" i="15" s="1"/>
  <c r="W386" i="15"/>
  <c r="S386" i="15"/>
  <c r="R386" i="15"/>
  <c r="Q386" i="15"/>
  <c r="N386" i="15" s="1"/>
  <c r="M386" i="15"/>
  <c r="L386" i="15"/>
  <c r="X386" i="15" s="1"/>
  <c r="S385" i="15"/>
  <c r="R385" i="15"/>
  <c r="Q385" i="15"/>
  <c r="O385" i="15" s="1"/>
  <c r="P385" i="15"/>
  <c r="M385" i="15"/>
  <c r="L385" i="15"/>
  <c r="X385" i="15" s="1"/>
  <c r="S384" i="15"/>
  <c r="R384" i="15"/>
  <c r="Q384" i="15"/>
  <c r="P384" i="15" s="1"/>
  <c r="M384" i="15"/>
  <c r="L384" i="15"/>
  <c r="X384" i="15" s="1"/>
  <c r="S383" i="15"/>
  <c r="R383" i="15"/>
  <c r="Q383" i="15"/>
  <c r="P383" i="15" s="1"/>
  <c r="M383" i="15"/>
  <c r="L383" i="15"/>
  <c r="X383" i="15" s="1"/>
  <c r="W382" i="15"/>
  <c r="U382" i="15"/>
  <c r="S382" i="15"/>
  <c r="R382" i="15"/>
  <c r="Q382" i="15"/>
  <c r="P382" i="15" s="1"/>
  <c r="M382" i="15"/>
  <c r="L382" i="15"/>
  <c r="X382" i="15" s="1"/>
  <c r="S381" i="15"/>
  <c r="R381" i="15"/>
  <c r="Q381" i="15"/>
  <c r="N381" i="15" s="1"/>
  <c r="M381" i="15"/>
  <c r="L381" i="15"/>
  <c r="X381" i="15" s="1"/>
  <c r="W380" i="15"/>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P374" i="15"/>
  <c r="M374" i="15"/>
  <c r="L374" i="15"/>
  <c r="X374" i="15" s="1"/>
  <c r="O438" i="15" l="1"/>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E458" i="3" s="1"/>
  <c r="H458" i="3"/>
  <c r="AO457" i="3"/>
  <c r="AL457" i="3"/>
  <c r="AI457" i="3"/>
  <c r="AF457" i="3"/>
  <c r="AC457" i="3"/>
  <c r="Z457" i="3"/>
  <c r="W457" i="3"/>
  <c r="T457" i="3"/>
  <c r="Q457" i="3"/>
  <c r="N457" i="3"/>
  <c r="K457" i="3"/>
  <c r="H457" i="3"/>
  <c r="AO456" i="3"/>
  <c r="AO469" i="3" s="1"/>
  <c r="AL456" i="3"/>
  <c r="AI456" i="3"/>
  <c r="AI469" i="3" s="1"/>
  <c r="AF456" i="3"/>
  <c r="AF469" i="3" s="1"/>
  <c r="AC456" i="3"/>
  <c r="AC469" i="3" s="1"/>
  <c r="Z456" i="3"/>
  <c r="W456" i="3"/>
  <c r="T456" i="3"/>
  <c r="Q456" i="3"/>
  <c r="Q469" i="3" s="1"/>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O333" i="3" s="1"/>
  <c r="AL321" i="3"/>
  <c r="AI321" i="3"/>
  <c r="AF321" i="3"/>
  <c r="AC321" i="3"/>
  <c r="AC333" i="3" s="1"/>
  <c r="Z321" i="3"/>
  <c r="Z333" i="3" s="1"/>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E311" i="3" s="1"/>
  <c r="AC311" i="3"/>
  <c r="AA311" i="3"/>
  <c r="AB311" i="3" s="1"/>
  <c r="Z311" i="3"/>
  <c r="X311" i="3"/>
  <c r="W311" i="3"/>
  <c r="U311" i="3"/>
  <c r="V311" i="3" s="1"/>
  <c r="T311" i="3"/>
  <c r="R311" i="3"/>
  <c r="S311" i="3" s="1"/>
  <c r="Q311" i="3"/>
  <c r="O311" i="3"/>
  <c r="N311" i="3"/>
  <c r="L311" i="3"/>
  <c r="K311" i="3"/>
  <c r="I311" i="3"/>
  <c r="J311" i="3" s="1"/>
  <c r="H311" i="3"/>
  <c r="F311" i="3"/>
  <c r="AO310" i="3"/>
  <c r="AM310" i="3"/>
  <c r="AN310" i="3" s="1"/>
  <c r="AL310" i="3"/>
  <c r="AJ310" i="3"/>
  <c r="AK310" i="3" s="1"/>
  <c r="AI310" i="3"/>
  <c r="AG310" i="3"/>
  <c r="AF310" i="3"/>
  <c r="AD310" i="3"/>
  <c r="AE310" i="3" s="1"/>
  <c r="AC310" i="3"/>
  <c r="AA310" i="3"/>
  <c r="Z310" i="3"/>
  <c r="X310" i="3"/>
  <c r="W310" i="3"/>
  <c r="U310" i="3"/>
  <c r="V310" i="3" s="1"/>
  <c r="T310" i="3"/>
  <c r="R310" i="3"/>
  <c r="S310" i="3" s="1"/>
  <c r="Q310" i="3"/>
  <c r="O310" i="3"/>
  <c r="N310" i="3"/>
  <c r="L310" i="3"/>
  <c r="M310" i="3" s="1"/>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Y303" i="3" s="1"/>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G302" i="3" s="1"/>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G301" i="3" s="1"/>
  <c r="AO300" i="3"/>
  <c r="AM300" i="3"/>
  <c r="AL300" i="3"/>
  <c r="AJ300" i="3"/>
  <c r="AK300" i="3" s="1"/>
  <c r="AI300" i="3"/>
  <c r="AG300" i="3"/>
  <c r="AH300" i="3" s="1"/>
  <c r="AF300" i="3"/>
  <c r="AD300" i="3"/>
  <c r="AC300" i="3"/>
  <c r="AA300" i="3"/>
  <c r="Z300" i="3"/>
  <c r="X300" i="3"/>
  <c r="Y300" i="3" s="1"/>
  <c r="W300" i="3"/>
  <c r="U300" i="3"/>
  <c r="T300" i="3"/>
  <c r="R300" i="3"/>
  <c r="S300" i="3" s="1"/>
  <c r="Q300" i="3"/>
  <c r="O300" i="3"/>
  <c r="N300" i="3"/>
  <c r="L300" i="3"/>
  <c r="K300" i="3"/>
  <c r="I300" i="3"/>
  <c r="H300" i="3"/>
  <c r="F300" i="3"/>
  <c r="G300" i="3" s="1"/>
  <c r="AO299" i="3"/>
  <c r="AM299" i="3"/>
  <c r="AL299" i="3"/>
  <c r="AJ299" i="3"/>
  <c r="AI299" i="3"/>
  <c r="AG299" i="3"/>
  <c r="AH299" i="3" s="1"/>
  <c r="AF299" i="3"/>
  <c r="AD299" i="3"/>
  <c r="AC299" i="3"/>
  <c r="AA299" i="3"/>
  <c r="Z299" i="3"/>
  <c r="X299" i="3"/>
  <c r="Y299" i="3" s="1"/>
  <c r="W299" i="3"/>
  <c r="U299" i="3"/>
  <c r="T299" i="3"/>
  <c r="R299" i="3"/>
  <c r="Q299" i="3"/>
  <c r="O299" i="3"/>
  <c r="P299" i="3" s="1"/>
  <c r="N299" i="3"/>
  <c r="L299" i="3"/>
  <c r="M299" i="3" s="1"/>
  <c r="K299" i="3"/>
  <c r="I299" i="3"/>
  <c r="H299" i="3"/>
  <c r="F299" i="3"/>
  <c r="AO298" i="3"/>
  <c r="AM298" i="3"/>
  <c r="AL298" i="3"/>
  <c r="AJ298" i="3"/>
  <c r="AI298" i="3"/>
  <c r="AG298" i="3"/>
  <c r="AH298" i="3" s="1"/>
  <c r="AF298" i="3"/>
  <c r="AD298" i="3"/>
  <c r="AE298" i="3" s="1"/>
  <c r="AC298" i="3"/>
  <c r="AA298" i="3"/>
  <c r="Z298" i="3"/>
  <c r="X298" i="3"/>
  <c r="W298" i="3"/>
  <c r="U298" i="3"/>
  <c r="T298" i="3"/>
  <c r="R298" i="3"/>
  <c r="Q298" i="3"/>
  <c r="O298" i="3"/>
  <c r="O307" i="3" s="1"/>
  <c r="N298" i="3"/>
  <c r="L298" i="3"/>
  <c r="K298" i="3"/>
  <c r="I298" i="3"/>
  <c r="H298" i="3"/>
  <c r="F298" i="3"/>
  <c r="G298" i="3" s="1"/>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W288" i="3" s="1"/>
  <c r="V288" i="3" s="1"/>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E259" i="3" s="1"/>
  <c r="N259" i="3"/>
  <c r="K259" i="3"/>
  <c r="H259" i="3"/>
  <c r="AO258" i="3"/>
  <c r="AL258" i="3"/>
  <c r="AI258" i="3"/>
  <c r="AF258" i="3"/>
  <c r="AC258" i="3"/>
  <c r="Z258" i="3"/>
  <c r="W258" i="3"/>
  <c r="T258" i="3"/>
  <c r="Q258" i="3"/>
  <c r="N258" i="3"/>
  <c r="K258" i="3"/>
  <c r="H258" i="3"/>
  <c r="AO257" i="3"/>
  <c r="AL257" i="3"/>
  <c r="AI257" i="3"/>
  <c r="AF257" i="3"/>
  <c r="AC257" i="3"/>
  <c r="Z257" i="3"/>
  <c r="W257" i="3"/>
  <c r="T257" i="3"/>
  <c r="T269" i="3" s="1"/>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K232" i="3" s="1"/>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H234" i="3" s="1"/>
  <c r="AO194" i="3"/>
  <c r="AN194" i="3"/>
  <c r="AM194" i="3"/>
  <c r="AL194" i="3"/>
  <c r="AK194" i="3"/>
  <c r="AL195" i="3" s="1"/>
  <c r="AJ194" i="3"/>
  <c r="AI194" i="3"/>
  <c r="AH194" i="3"/>
  <c r="AG194" i="3"/>
  <c r="AF194" i="3"/>
  <c r="AE194" i="3"/>
  <c r="AD194" i="3"/>
  <c r="AC194" i="3"/>
  <c r="AB194" i="3"/>
  <c r="AA194" i="3"/>
  <c r="Z194" i="3"/>
  <c r="Y194" i="3"/>
  <c r="Z195" i="3" s="1"/>
  <c r="X194" i="3"/>
  <c r="W194" i="3"/>
  <c r="V194" i="3"/>
  <c r="W195" i="3" s="1"/>
  <c r="U194" i="3"/>
  <c r="T194" i="3"/>
  <c r="S194" i="3"/>
  <c r="R194" i="3"/>
  <c r="Q194" i="3"/>
  <c r="Q195" i="3" s="1"/>
  <c r="P194" i="3"/>
  <c r="O194" i="3"/>
  <c r="N194" i="3"/>
  <c r="M194" i="3"/>
  <c r="N195" i="3" s="1"/>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Q192" i="3" s="1"/>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V186" i="3" s="1"/>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H183" i="3" s="1"/>
  <c r="AG181" i="3"/>
  <c r="AF181" i="3"/>
  <c r="AE181" i="3"/>
  <c r="AD181" i="3"/>
  <c r="AC181" i="3"/>
  <c r="AB181" i="3"/>
  <c r="AA181" i="3"/>
  <c r="Z181" i="3"/>
  <c r="Y181" i="3"/>
  <c r="Y183" i="3" s="1"/>
  <c r="X181" i="3"/>
  <c r="W181" i="3"/>
  <c r="V181" i="3"/>
  <c r="V183" i="3" s="1"/>
  <c r="U181" i="3"/>
  <c r="T181" i="3"/>
  <c r="S181" i="3"/>
  <c r="R181" i="3"/>
  <c r="Q181" i="3"/>
  <c r="Q182" i="3" s="1"/>
  <c r="P181" i="3"/>
  <c r="O181" i="3"/>
  <c r="N181" i="3"/>
  <c r="M181" i="3"/>
  <c r="M183" i="3" s="1"/>
  <c r="L181" i="3"/>
  <c r="K181" i="3"/>
  <c r="J181" i="3"/>
  <c r="I181" i="3"/>
  <c r="H181" i="3"/>
  <c r="G181" i="3"/>
  <c r="H182" i="3" s="1"/>
  <c r="F181" i="3"/>
  <c r="AO178" i="3"/>
  <c r="AO179" i="3" s="1"/>
  <c r="AN178" i="3"/>
  <c r="AM178" i="3"/>
  <c r="AN180" i="3" s="1"/>
  <c r="AL178" i="3"/>
  <c r="AK178" i="3"/>
  <c r="AJ178" i="3"/>
  <c r="AI178" i="3"/>
  <c r="AH178" i="3"/>
  <c r="AH180" i="3" s="1"/>
  <c r="AG178" i="3"/>
  <c r="AF178" i="3"/>
  <c r="AE178" i="3"/>
  <c r="AD178" i="3"/>
  <c r="AC178" i="3"/>
  <c r="AC179" i="3" s="1"/>
  <c r="AB178" i="3"/>
  <c r="AA178" i="3"/>
  <c r="Z178" i="3"/>
  <c r="Y178" i="3"/>
  <c r="X178" i="3"/>
  <c r="W178" i="3"/>
  <c r="V178" i="3"/>
  <c r="V180" i="3" s="1"/>
  <c r="U178" i="3"/>
  <c r="T178" i="3"/>
  <c r="S178" i="3"/>
  <c r="R178" i="3"/>
  <c r="Q178" i="3"/>
  <c r="Q179" i="3" s="1"/>
  <c r="P178" i="3"/>
  <c r="O178" i="3"/>
  <c r="P180" i="3" s="1"/>
  <c r="N178" i="3"/>
  <c r="M178" i="3"/>
  <c r="L178" i="3"/>
  <c r="K178" i="3"/>
  <c r="J178" i="3"/>
  <c r="J180" i="3" s="1"/>
  <c r="I178" i="3"/>
  <c r="H178" i="3"/>
  <c r="G178" i="3"/>
  <c r="F178" i="3"/>
  <c r="AO175" i="3"/>
  <c r="AN175" i="3"/>
  <c r="AN177" i="3" s="1"/>
  <c r="AM175" i="3"/>
  <c r="AL175" i="3"/>
  <c r="AK175" i="3"/>
  <c r="AJ175" i="3"/>
  <c r="AI175" i="3"/>
  <c r="AH175" i="3"/>
  <c r="AG175" i="3"/>
  <c r="AG188" i="3" s="1"/>
  <c r="AF175" i="3"/>
  <c r="AE175" i="3"/>
  <c r="AD175" i="3"/>
  <c r="AC175" i="3"/>
  <c r="AB175" i="3"/>
  <c r="AA175" i="3"/>
  <c r="Z175" i="3"/>
  <c r="Y175" i="3"/>
  <c r="X175" i="3"/>
  <c r="W175" i="3"/>
  <c r="V175" i="3"/>
  <c r="U175" i="3"/>
  <c r="U188" i="3" s="1"/>
  <c r="T175" i="3"/>
  <c r="S175" i="3"/>
  <c r="R175" i="3"/>
  <c r="Q175" i="3"/>
  <c r="P175" i="3"/>
  <c r="O175" i="3"/>
  <c r="N175" i="3"/>
  <c r="M175" i="3"/>
  <c r="L175" i="3"/>
  <c r="K175" i="3"/>
  <c r="K176" i="3" s="1"/>
  <c r="J175" i="3"/>
  <c r="I175" i="3"/>
  <c r="I188" i="3" s="1"/>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Z108" i="3" s="1"/>
  <c r="W105" i="3"/>
  <c r="T105" i="3"/>
  <c r="Q105" i="3"/>
  <c r="N105" i="3"/>
  <c r="N108" i="3" s="1"/>
  <c r="L116" i="3" s="1"/>
  <c r="K105" i="3"/>
  <c r="K108" i="3" s="1"/>
  <c r="H105" i="3"/>
  <c r="H108" i="3" s="1"/>
  <c r="AO103" i="3"/>
  <c r="AM103" i="3"/>
  <c r="AL103" i="3"/>
  <c r="AJ103" i="3"/>
  <c r="AI103" i="3"/>
  <c r="AG103" i="3"/>
  <c r="AH103" i="3" s="1"/>
  <c r="AF103" i="3"/>
  <c r="AE103" i="3" s="1"/>
  <c r="AD103" i="3"/>
  <c r="AC103" i="3"/>
  <c r="AA103" i="3"/>
  <c r="Z103" i="3"/>
  <c r="X103" i="3"/>
  <c r="W103" i="3"/>
  <c r="U103" i="3"/>
  <c r="T103" i="3"/>
  <c r="R103" i="3"/>
  <c r="Q103" i="3"/>
  <c r="O103" i="3"/>
  <c r="N103" i="3"/>
  <c r="L103" i="3"/>
  <c r="K103" i="3"/>
  <c r="I103" i="3"/>
  <c r="H103" i="3"/>
  <c r="F103" i="3"/>
  <c r="AO99" i="3"/>
  <c r="AM99" i="3"/>
  <c r="AN99" i="3" s="1"/>
  <c r="AL99" i="3"/>
  <c r="AJ99" i="3"/>
  <c r="AI99" i="3"/>
  <c r="AG99" i="3"/>
  <c r="AH99" i="3" s="1"/>
  <c r="AF99" i="3"/>
  <c r="AD99" i="3"/>
  <c r="AC99" i="3"/>
  <c r="AA99" i="3"/>
  <c r="AB99" i="3" s="1"/>
  <c r="Z99" i="3"/>
  <c r="X99" i="3"/>
  <c r="Y99" i="3" s="1"/>
  <c r="W99" i="3"/>
  <c r="U99" i="3"/>
  <c r="V99" i="3" s="1"/>
  <c r="T99" i="3"/>
  <c r="R99" i="3"/>
  <c r="Q99" i="3"/>
  <c r="O99" i="3"/>
  <c r="N99" i="3"/>
  <c r="L99" i="3"/>
  <c r="K99" i="3"/>
  <c r="I99" i="3"/>
  <c r="H99" i="3"/>
  <c r="F99" i="3"/>
  <c r="G99" i="3" s="1"/>
  <c r="AO98" i="3"/>
  <c r="AM98" i="3"/>
  <c r="AN98" i="3" s="1"/>
  <c r="AL98" i="3"/>
  <c r="AJ98" i="3"/>
  <c r="AI98" i="3"/>
  <c r="AG98" i="3"/>
  <c r="AF98" i="3"/>
  <c r="AD98" i="3"/>
  <c r="AC98" i="3"/>
  <c r="AA98" i="3"/>
  <c r="Z98" i="3"/>
  <c r="X98" i="3"/>
  <c r="Y98" i="3" s="1"/>
  <c r="W98" i="3"/>
  <c r="U98" i="3"/>
  <c r="V98" i="3" s="1"/>
  <c r="T98" i="3"/>
  <c r="R98" i="3"/>
  <c r="Q98" i="3"/>
  <c r="O98" i="3"/>
  <c r="N98" i="3"/>
  <c r="L98" i="3"/>
  <c r="K98" i="3"/>
  <c r="I98" i="3"/>
  <c r="H98" i="3"/>
  <c r="F98" i="3"/>
  <c r="G98" i="3" s="1"/>
  <c r="AO97" i="3"/>
  <c r="AO100" i="3" s="1"/>
  <c r="AM97" i="3"/>
  <c r="AN97" i="3" s="1"/>
  <c r="AL97" i="3"/>
  <c r="AL100" i="3" s="1"/>
  <c r="AJ97" i="3"/>
  <c r="AI97" i="3"/>
  <c r="AI100" i="3" s="1"/>
  <c r="AG97" i="3"/>
  <c r="AG100" i="3" s="1"/>
  <c r="AG111" i="3" s="1"/>
  <c r="AF97" i="3"/>
  <c r="AD97" i="3"/>
  <c r="AC97" i="3"/>
  <c r="AC100" i="3" s="1"/>
  <c r="AA97" i="3"/>
  <c r="Z97" i="3"/>
  <c r="Z100" i="3" s="1"/>
  <c r="X97" i="3"/>
  <c r="Y97" i="3" s="1"/>
  <c r="W97" i="3"/>
  <c r="W100" i="3" s="1"/>
  <c r="U97" i="3"/>
  <c r="V97" i="3" s="1"/>
  <c r="T97" i="3"/>
  <c r="T100" i="3" s="1"/>
  <c r="R115"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F483" i="3" s="1"/>
  <c r="AC85" i="3"/>
  <c r="AC483" i="3" s="1"/>
  <c r="Z85" i="3"/>
  <c r="W85" i="3"/>
  <c r="T85" i="3"/>
  <c r="Q85" i="3"/>
  <c r="N85" i="3"/>
  <c r="N483" i="3" s="1"/>
  <c r="K85" i="3"/>
  <c r="K483" i="3" s="1"/>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Z451" i="3" s="1"/>
  <c r="W71" i="3"/>
  <c r="T71" i="3"/>
  <c r="Q71" i="3"/>
  <c r="N71" i="3"/>
  <c r="N451" i="3" s="1"/>
  <c r="K71" i="3"/>
  <c r="K451" i="3" s="1"/>
  <c r="H71" i="3"/>
  <c r="H451" i="3" s="1"/>
  <c r="AO70" i="3"/>
  <c r="AO450" i="3" s="1"/>
  <c r="AL70" i="3"/>
  <c r="AI70" i="3"/>
  <c r="AF70" i="3"/>
  <c r="AC70" i="3"/>
  <c r="AC450" i="3" s="1"/>
  <c r="Z70" i="3"/>
  <c r="Z450" i="3" s="1"/>
  <c r="W70" i="3"/>
  <c r="T70" i="3"/>
  <c r="Q70" i="3"/>
  <c r="Q450" i="3" s="1"/>
  <c r="N70" i="3"/>
  <c r="N450" i="3" s="1"/>
  <c r="K70" i="3"/>
  <c r="K450" i="3" s="1"/>
  <c r="H70" i="3"/>
  <c r="H450" i="3" s="1"/>
  <c r="AO69" i="3"/>
  <c r="AO449" i="3" s="1"/>
  <c r="AL69" i="3"/>
  <c r="AI69" i="3"/>
  <c r="AI449" i="3" s="1"/>
  <c r="AF69" i="3"/>
  <c r="AC69" i="3"/>
  <c r="AC449" i="3" s="1"/>
  <c r="Z69" i="3"/>
  <c r="Z449" i="3" s="1"/>
  <c r="W69" i="3"/>
  <c r="T69" i="3"/>
  <c r="Q69" i="3"/>
  <c r="Q449" i="3" s="1"/>
  <c r="N69" i="3"/>
  <c r="N449" i="3" s="1"/>
  <c r="K69" i="3"/>
  <c r="K449" i="3" s="1"/>
  <c r="H69" i="3"/>
  <c r="H449" i="3" s="1"/>
  <c r="AO68" i="3"/>
  <c r="AO448" i="3" s="1"/>
  <c r="AL68" i="3"/>
  <c r="AI68" i="3"/>
  <c r="AI448" i="3" s="1"/>
  <c r="AF68" i="3"/>
  <c r="AC68" i="3"/>
  <c r="AC448" i="3" s="1"/>
  <c r="Z68" i="3"/>
  <c r="Z448" i="3" s="1"/>
  <c r="W68" i="3"/>
  <c r="T68" i="3"/>
  <c r="Q68" i="3"/>
  <c r="Q448" i="3" s="1"/>
  <c r="N68" i="3"/>
  <c r="N448" i="3" s="1"/>
  <c r="K68" i="3"/>
  <c r="K448" i="3" s="1"/>
  <c r="H68" i="3"/>
  <c r="H448" i="3" s="1"/>
  <c r="AO67" i="3"/>
  <c r="AO447" i="3" s="1"/>
  <c r="AL67" i="3"/>
  <c r="AI67" i="3"/>
  <c r="AI447" i="3" s="1"/>
  <c r="AF67" i="3"/>
  <c r="AC67" i="3"/>
  <c r="AC447" i="3" s="1"/>
  <c r="Z67" i="3"/>
  <c r="Z447" i="3" s="1"/>
  <c r="W67" i="3"/>
  <c r="T67" i="3"/>
  <c r="Q67" i="3"/>
  <c r="Q447" i="3" s="1"/>
  <c r="N67" i="3"/>
  <c r="N447" i="3" s="1"/>
  <c r="K67" i="3"/>
  <c r="K447" i="3" s="1"/>
  <c r="H67" i="3"/>
  <c r="H447" i="3" s="1"/>
  <c r="AO66" i="3"/>
  <c r="AL66" i="3"/>
  <c r="AI66" i="3"/>
  <c r="AI446" i="3" s="1"/>
  <c r="AF66" i="3"/>
  <c r="AC66" i="3"/>
  <c r="AC446" i="3" s="1"/>
  <c r="Z66" i="3"/>
  <c r="Z446" i="3" s="1"/>
  <c r="W66" i="3"/>
  <c r="T66" i="3"/>
  <c r="Q66" i="3"/>
  <c r="Q446" i="3" s="1"/>
  <c r="N66" i="3"/>
  <c r="N446" i="3" s="1"/>
  <c r="K66" i="3"/>
  <c r="K446" i="3" s="1"/>
  <c r="H66" i="3"/>
  <c r="H446" i="3" s="1"/>
  <c r="AO65" i="3"/>
  <c r="AO445" i="3" s="1"/>
  <c r="AL65" i="3"/>
  <c r="AI65" i="3"/>
  <c r="AF65" i="3"/>
  <c r="AF445" i="3" s="1"/>
  <c r="AC65" i="3"/>
  <c r="AC445" i="3" s="1"/>
  <c r="Z65" i="3"/>
  <c r="Z445" i="3" s="1"/>
  <c r="W65" i="3"/>
  <c r="T65" i="3"/>
  <c r="Q65" i="3"/>
  <c r="Q445" i="3" s="1"/>
  <c r="N65" i="3"/>
  <c r="N445" i="3" s="1"/>
  <c r="K65" i="3"/>
  <c r="K445" i="3" s="1"/>
  <c r="H65" i="3"/>
  <c r="AO64" i="3"/>
  <c r="AL64" i="3"/>
  <c r="AL444" i="3" s="1"/>
  <c r="AI64" i="3"/>
  <c r="AF64" i="3"/>
  <c r="AF444" i="3" s="1"/>
  <c r="AC64" i="3"/>
  <c r="AC444" i="3" s="1"/>
  <c r="Z64" i="3"/>
  <c r="Z444" i="3" s="1"/>
  <c r="W64" i="3"/>
  <c r="T64" i="3"/>
  <c r="Q64" i="3"/>
  <c r="Q444" i="3" s="1"/>
  <c r="N64" i="3"/>
  <c r="N444" i="3" s="1"/>
  <c r="K64" i="3"/>
  <c r="H64" i="3"/>
  <c r="H444" i="3" s="1"/>
  <c r="AO63" i="3"/>
  <c r="AL63" i="3"/>
  <c r="AL442" i="3" s="1"/>
  <c r="AI63" i="3"/>
  <c r="AF63" i="3"/>
  <c r="AF442" i="3" s="1"/>
  <c r="AC63" i="3"/>
  <c r="Z63" i="3"/>
  <c r="Z442" i="3" s="1"/>
  <c r="W63" i="3"/>
  <c r="T63" i="3"/>
  <c r="Q63" i="3"/>
  <c r="Q442" i="3" s="1"/>
  <c r="N63" i="3"/>
  <c r="N442" i="3" s="1"/>
  <c r="K63" i="3"/>
  <c r="H63" i="3"/>
  <c r="H442" i="3" s="1"/>
  <c r="AO62" i="3"/>
  <c r="AL62" i="3"/>
  <c r="AL441" i="3" s="1"/>
  <c r="AI62" i="3"/>
  <c r="AF62" i="3"/>
  <c r="AC62" i="3"/>
  <c r="Z62" i="3"/>
  <c r="Z441" i="3" s="1"/>
  <c r="W62" i="3"/>
  <c r="T62" i="3"/>
  <c r="Q62" i="3"/>
  <c r="Q441" i="3" s="1"/>
  <c r="N62" i="3"/>
  <c r="K62" i="3"/>
  <c r="K441" i="3" s="1"/>
  <c r="H62" i="3"/>
  <c r="H441" i="3" s="1"/>
  <c r="AO61" i="3"/>
  <c r="AL61" i="3"/>
  <c r="AL440" i="3" s="1"/>
  <c r="AI61" i="3"/>
  <c r="AF61" i="3"/>
  <c r="AC61" i="3"/>
  <c r="AC440" i="3" s="1"/>
  <c r="Z61" i="3"/>
  <c r="W61" i="3"/>
  <c r="T61" i="3"/>
  <c r="Q61" i="3"/>
  <c r="Q440" i="3" s="1"/>
  <c r="N61" i="3"/>
  <c r="N440" i="3" s="1"/>
  <c r="K61" i="3"/>
  <c r="K440" i="3" s="1"/>
  <c r="H61" i="3"/>
  <c r="H440" i="3" s="1"/>
  <c r="AO60" i="3"/>
  <c r="AL60" i="3"/>
  <c r="AI60" i="3"/>
  <c r="AF60" i="3"/>
  <c r="AC60" i="3"/>
  <c r="Z60" i="3"/>
  <c r="W60" i="3"/>
  <c r="T60" i="3"/>
  <c r="Q60" i="3"/>
  <c r="Q439" i="3" s="1"/>
  <c r="N60" i="3"/>
  <c r="N439" i="3" s="1"/>
  <c r="K60" i="3"/>
  <c r="K439" i="3" s="1"/>
  <c r="H60" i="3"/>
  <c r="H439" i="3" s="1"/>
  <c r="AO59" i="3"/>
  <c r="AL59" i="3"/>
  <c r="AI59" i="3"/>
  <c r="AF59" i="3"/>
  <c r="AC59" i="3"/>
  <c r="AC438" i="3" s="1"/>
  <c r="Z59" i="3"/>
  <c r="Z438" i="3" s="1"/>
  <c r="W59" i="3"/>
  <c r="T59" i="3"/>
  <c r="T438" i="3" s="1"/>
  <c r="Q59" i="3"/>
  <c r="Q438" i="3" s="1"/>
  <c r="N59" i="3"/>
  <c r="N438" i="3" s="1"/>
  <c r="K59" i="3"/>
  <c r="K438" i="3" s="1"/>
  <c r="H59" i="3"/>
  <c r="H438" i="3" s="1"/>
  <c r="AO58" i="3"/>
  <c r="AL58" i="3"/>
  <c r="AL437" i="3" s="1"/>
  <c r="AI58" i="3"/>
  <c r="AI75" i="3" s="1"/>
  <c r="AF58" i="3"/>
  <c r="AC58" i="3"/>
  <c r="Z58" i="3"/>
  <c r="W58" i="3"/>
  <c r="T58" i="3"/>
  <c r="T437" i="3" s="1"/>
  <c r="Q58" i="3"/>
  <c r="Q437" i="3" s="1"/>
  <c r="N58" i="3"/>
  <c r="K58" i="3"/>
  <c r="H58" i="3"/>
  <c r="H437" i="3" s="1"/>
  <c r="E56" i="3"/>
  <c r="AO55" i="3"/>
  <c r="AO434" i="3" s="1"/>
  <c r="AL55" i="3"/>
  <c r="AI55" i="3"/>
  <c r="AI434" i="3" s="1"/>
  <c r="AF55" i="3"/>
  <c r="AF434" i="3" s="1"/>
  <c r="AC55" i="3"/>
  <c r="Z55" i="3"/>
  <c r="Z434" i="3" s="1"/>
  <c r="W55" i="3"/>
  <c r="W434" i="3" s="1"/>
  <c r="T55" i="3"/>
  <c r="T434" i="3" s="1"/>
  <c r="Q55" i="3"/>
  <c r="N55" i="3"/>
  <c r="N434" i="3" s="1"/>
  <c r="K55" i="3"/>
  <c r="K434" i="3" s="1"/>
  <c r="H55" i="3"/>
  <c r="AO54" i="3"/>
  <c r="AL54" i="3"/>
  <c r="AL433" i="3" s="1"/>
  <c r="AI54" i="3"/>
  <c r="AI433" i="3" s="1"/>
  <c r="AF54" i="3"/>
  <c r="AF433" i="3" s="1"/>
  <c r="AC54" i="3"/>
  <c r="Z54" i="3"/>
  <c r="Z433" i="3" s="1"/>
  <c r="W54" i="3"/>
  <c r="T54" i="3"/>
  <c r="T433" i="3" s="1"/>
  <c r="Q54" i="3"/>
  <c r="Q433" i="3" s="1"/>
  <c r="N54" i="3"/>
  <c r="K54" i="3"/>
  <c r="K433" i="3" s="1"/>
  <c r="H54" i="3"/>
  <c r="AO53" i="3"/>
  <c r="AL53" i="3"/>
  <c r="AL432" i="3" s="1"/>
  <c r="AI53" i="3"/>
  <c r="AI432" i="3" s="1"/>
  <c r="AF53" i="3"/>
  <c r="AF432" i="3" s="1"/>
  <c r="AC53" i="3"/>
  <c r="Z53" i="3"/>
  <c r="Z432" i="3" s="1"/>
  <c r="W53" i="3"/>
  <c r="T53" i="3"/>
  <c r="T432" i="3" s="1"/>
  <c r="Q53" i="3"/>
  <c r="N53" i="3"/>
  <c r="N432" i="3" s="1"/>
  <c r="K53" i="3"/>
  <c r="K432" i="3" s="1"/>
  <c r="H53" i="3"/>
  <c r="AO52" i="3"/>
  <c r="AL52" i="3"/>
  <c r="AL431" i="3" s="1"/>
  <c r="AI52" i="3"/>
  <c r="AI431" i="3" s="1"/>
  <c r="AF52" i="3"/>
  <c r="AF431" i="3" s="1"/>
  <c r="AC52" i="3"/>
  <c r="Z52" i="3"/>
  <c r="Z431" i="3" s="1"/>
  <c r="W52" i="3"/>
  <c r="W431" i="3" s="1"/>
  <c r="T52" i="3"/>
  <c r="T431" i="3" s="1"/>
  <c r="Q52" i="3"/>
  <c r="N52" i="3"/>
  <c r="N431" i="3" s="1"/>
  <c r="K52" i="3"/>
  <c r="K431" i="3" s="1"/>
  <c r="H52" i="3"/>
  <c r="E51" i="3"/>
  <c r="E50" i="3"/>
  <c r="E49" i="3"/>
  <c r="E48" i="3"/>
  <c r="AO47" i="3"/>
  <c r="AO426" i="3" s="1"/>
  <c r="AL47" i="3"/>
  <c r="AI47" i="3"/>
  <c r="AF47" i="3"/>
  <c r="AF426" i="3" s="1"/>
  <c r="AC47" i="3"/>
  <c r="AC426" i="3" s="1"/>
  <c r="Z47" i="3"/>
  <c r="Z426" i="3" s="1"/>
  <c r="W47" i="3"/>
  <c r="W426" i="3" s="1"/>
  <c r="T47" i="3"/>
  <c r="Q47" i="3"/>
  <c r="N47" i="3"/>
  <c r="N426" i="3" s="1"/>
  <c r="K47" i="3"/>
  <c r="K426" i="3" s="1"/>
  <c r="H47" i="3"/>
  <c r="H426" i="3" s="1"/>
  <c r="AO46" i="3"/>
  <c r="AO425" i="3" s="1"/>
  <c r="AL46" i="3"/>
  <c r="AI46" i="3"/>
  <c r="AI425" i="3" s="1"/>
  <c r="AF46" i="3"/>
  <c r="AF425" i="3" s="1"/>
  <c r="AC46" i="3"/>
  <c r="Z46" i="3"/>
  <c r="Z425" i="3" s="1"/>
  <c r="W46" i="3"/>
  <c r="W425" i="3" s="1"/>
  <c r="T46" i="3"/>
  <c r="Q46" i="3"/>
  <c r="N46" i="3"/>
  <c r="N425" i="3" s="1"/>
  <c r="K46" i="3"/>
  <c r="K425" i="3" s="1"/>
  <c r="H46" i="3"/>
  <c r="H425" i="3" s="1"/>
  <c r="AO45" i="3"/>
  <c r="AO424" i="3" s="1"/>
  <c r="AL45" i="3"/>
  <c r="AI45" i="3"/>
  <c r="AI424" i="3" s="1"/>
  <c r="AF45" i="3"/>
  <c r="AF424" i="3" s="1"/>
  <c r="AC45" i="3"/>
  <c r="AC424" i="3" s="1"/>
  <c r="Z45" i="3"/>
  <c r="Z424" i="3" s="1"/>
  <c r="W45" i="3"/>
  <c r="W424" i="3" s="1"/>
  <c r="T45" i="3"/>
  <c r="Q45" i="3"/>
  <c r="N45" i="3"/>
  <c r="N424" i="3" s="1"/>
  <c r="K45" i="3"/>
  <c r="K424" i="3" s="1"/>
  <c r="H45" i="3"/>
  <c r="H424" i="3" s="1"/>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Z418" i="3" s="1"/>
  <c r="W40" i="3"/>
  <c r="T40" i="3"/>
  <c r="T418" i="3" s="1"/>
  <c r="Q40" i="3"/>
  <c r="Q418" i="3" s="1"/>
  <c r="N40" i="3"/>
  <c r="N418" i="3" s="1"/>
  <c r="K40" i="3"/>
  <c r="K418" i="3" s="1"/>
  <c r="H40" i="3"/>
  <c r="H418" i="3" s="1"/>
  <c r="AO39" i="3"/>
  <c r="AO417" i="3" s="1"/>
  <c r="AL39" i="3"/>
  <c r="AL417" i="3" s="1"/>
  <c r="AI39" i="3"/>
  <c r="AI417" i="3" s="1"/>
  <c r="AF39" i="3"/>
  <c r="AF417" i="3" s="1"/>
  <c r="AC39" i="3"/>
  <c r="AC417" i="3" s="1"/>
  <c r="Z39" i="3"/>
  <c r="Z417" i="3" s="1"/>
  <c r="W39" i="3"/>
  <c r="W417" i="3" s="1"/>
  <c r="T39" i="3"/>
  <c r="T417" i="3" s="1"/>
  <c r="Q39" i="3"/>
  <c r="Q417" i="3" s="1"/>
  <c r="N39" i="3"/>
  <c r="N417" i="3" s="1"/>
  <c r="K39" i="3"/>
  <c r="K417" i="3" s="1"/>
  <c r="H39" i="3"/>
  <c r="AO38" i="3"/>
  <c r="AO416" i="3" s="1"/>
  <c r="AL38" i="3"/>
  <c r="AL416" i="3" s="1"/>
  <c r="AI38" i="3"/>
  <c r="AI416" i="3" s="1"/>
  <c r="AF38" i="3"/>
  <c r="AF416" i="3" s="1"/>
  <c r="AC38" i="3"/>
  <c r="AC416" i="3" s="1"/>
  <c r="Z38" i="3"/>
  <c r="Z416" i="3" s="1"/>
  <c r="W38" i="3"/>
  <c r="W416" i="3" s="1"/>
  <c r="T38" i="3"/>
  <c r="T416" i="3" s="1"/>
  <c r="Q38" i="3"/>
  <c r="Q416" i="3" s="1"/>
  <c r="N38" i="3"/>
  <c r="N416" i="3" s="1"/>
  <c r="K38" i="3"/>
  <c r="K416" i="3" s="1"/>
  <c r="H38" i="3"/>
  <c r="H416" i="3" s="1"/>
  <c r="AO37" i="3"/>
  <c r="AO415" i="3" s="1"/>
  <c r="AL37" i="3"/>
  <c r="AL415" i="3" s="1"/>
  <c r="AI37" i="3"/>
  <c r="AI415" i="3" s="1"/>
  <c r="AF37" i="3"/>
  <c r="AF415" i="3" s="1"/>
  <c r="AC37" i="3"/>
  <c r="AC415" i="3" s="1"/>
  <c r="Z37" i="3"/>
  <c r="Z415" i="3" s="1"/>
  <c r="W37" i="3"/>
  <c r="W415" i="3" s="1"/>
  <c r="T37" i="3"/>
  <c r="T415" i="3" s="1"/>
  <c r="Q37" i="3"/>
  <c r="Q415" i="3" s="1"/>
  <c r="N37" i="3"/>
  <c r="N415" i="3" s="1"/>
  <c r="K37" i="3"/>
  <c r="K415" i="3" s="1"/>
  <c r="H37" i="3"/>
  <c r="H415" i="3" s="1"/>
  <c r="AO36" i="3"/>
  <c r="AO414" i="3" s="1"/>
  <c r="AL36" i="3"/>
  <c r="AL414" i="3" s="1"/>
  <c r="AI36" i="3"/>
  <c r="AI414" i="3" s="1"/>
  <c r="AF36" i="3"/>
  <c r="AF414" i="3" s="1"/>
  <c r="AC36" i="3"/>
  <c r="AC414" i="3" s="1"/>
  <c r="Z36" i="3"/>
  <c r="Z414" i="3" s="1"/>
  <c r="W36" i="3"/>
  <c r="W414" i="3" s="1"/>
  <c r="T36" i="3"/>
  <c r="T414" i="3" s="1"/>
  <c r="Q36" i="3"/>
  <c r="Q414" i="3" s="1"/>
  <c r="N36" i="3"/>
  <c r="N414" i="3" s="1"/>
  <c r="K36" i="3"/>
  <c r="K414" i="3" s="1"/>
  <c r="H36" i="3"/>
  <c r="H414" i="3" s="1"/>
  <c r="AO35" i="3"/>
  <c r="AO413" i="3" s="1"/>
  <c r="AL35" i="3"/>
  <c r="AI35" i="3"/>
  <c r="AI413" i="3" s="1"/>
  <c r="AF35" i="3"/>
  <c r="AF413" i="3" s="1"/>
  <c r="AC35" i="3"/>
  <c r="AC413" i="3" s="1"/>
  <c r="Z35" i="3"/>
  <c r="Z413" i="3" s="1"/>
  <c r="W35" i="3"/>
  <c r="W413" i="3" s="1"/>
  <c r="T35" i="3"/>
  <c r="T413" i="3" s="1"/>
  <c r="Q35" i="3"/>
  <c r="Q413" i="3" s="1"/>
  <c r="N35" i="3"/>
  <c r="N413" i="3" s="1"/>
  <c r="K35" i="3"/>
  <c r="K413" i="3" s="1"/>
  <c r="H35" i="3"/>
  <c r="H413" i="3" s="1"/>
  <c r="AO34" i="3"/>
  <c r="AO412" i="3" s="1"/>
  <c r="AL34" i="3"/>
  <c r="AL412" i="3" s="1"/>
  <c r="AI34" i="3"/>
  <c r="AI412" i="3" s="1"/>
  <c r="AF34" i="3"/>
  <c r="AF412" i="3" s="1"/>
  <c r="AC34" i="3"/>
  <c r="AC412" i="3" s="1"/>
  <c r="Z34" i="3"/>
  <c r="Z412" i="3" s="1"/>
  <c r="W34" i="3"/>
  <c r="W412" i="3" s="1"/>
  <c r="T34" i="3"/>
  <c r="T412" i="3" s="1"/>
  <c r="Q34" i="3"/>
  <c r="Q412" i="3" s="1"/>
  <c r="N34" i="3"/>
  <c r="N412" i="3" s="1"/>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H20" i="3" s="1"/>
  <c r="AF20" i="3"/>
  <c r="AD20" i="3"/>
  <c r="AE20" i="3" s="1"/>
  <c r="AC20" i="3"/>
  <c r="AA20" i="3"/>
  <c r="Z20" i="3"/>
  <c r="X20" i="3"/>
  <c r="Y20" i="3" s="1"/>
  <c r="W20" i="3"/>
  <c r="U20" i="3"/>
  <c r="T20" i="3"/>
  <c r="R20" i="3"/>
  <c r="Q20" i="3"/>
  <c r="O20" i="3"/>
  <c r="P20" i="3" s="1"/>
  <c r="N20" i="3"/>
  <c r="L20" i="3"/>
  <c r="K20" i="3"/>
  <c r="I20" i="3"/>
  <c r="H20" i="3"/>
  <c r="F20" i="3"/>
  <c r="G20" i="3" s="1"/>
  <c r="AO18" i="3"/>
  <c r="AM18" i="3"/>
  <c r="AL18" i="3"/>
  <c r="AJ18" i="3"/>
  <c r="AI18" i="3"/>
  <c r="AG18" i="3"/>
  <c r="AF18" i="3"/>
  <c r="AD18" i="3"/>
  <c r="AE18" i="3" s="1"/>
  <c r="AC18" i="3"/>
  <c r="AA18" i="3"/>
  <c r="Z18" i="3"/>
  <c r="X18" i="3"/>
  <c r="Y18" i="3" s="1"/>
  <c r="W18" i="3"/>
  <c r="U18" i="3"/>
  <c r="T18" i="3"/>
  <c r="R18" i="3"/>
  <c r="Q18" i="3"/>
  <c r="O18" i="3"/>
  <c r="N18" i="3"/>
  <c r="L18" i="3"/>
  <c r="M18" i="3" s="1"/>
  <c r="K18" i="3"/>
  <c r="I18" i="3"/>
  <c r="H18" i="3"/>
  <c r="F18" i="3"/>
  <c r="G18" i="3" s="1"/>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K10" i="3" s="1"/>
  <c r="AI10" i="3"/>
  <c r="AG10" i="3"/>
  <c r="AF10" i="3"/>
  <c r="AD10" i="3"/>
  <c r="AC10" i="3"/>
  <c r="AA10" i="3"/>
  <c r="Z10" i="3"/>
  <c r="X10" i="3"/>
  <c r="W10" i="3"/>
  <c r="U10" i="3"/>
  <c r="V10" i="3" s="1"/>
  <c r="T10" i="3"/>
  <c r="R10" i="3"/>
  <c r="Q10" i="3"/>
  <c r="O10" i="3"/>
  <c r="N10" i="3"/>
  <c r="L10" i="3"/>
  <c r="K10" i="3"/>
  <c r="I10" i="3"/>
  <c r="J10" i="3" s="1"/>
  <c r="H10" i="3"/>
  <c r="F10" i="3"/>
  <c r="G10" i="3" s="1"/>
  <c r="AO9" i="3"/>
  <c r="AO16" i="3" s="1"/>
  <c r="AM9" i="3"/>
  <c r="AL9" i="3"/>
  <c r="AJ9" i="3"/>
  <c r="AK9" i="3" s="1"/>
  <c r="AI9" i="3"/>
  <c r="AI16" i="3" s="1"/>
  <c r="AG9" i="3"/>
  <c r="AF9" i="3"/>
  <c r="AF16" i="3" s="1"/>
  <c r="AD9" i="3"/>
  <c r="AC9" i="3"/>
  <c r="AA9" i="3"/>
  <c r="AA16" i="3" s="1"/>
  <c r="Z9" i="3"/>
  <c r="X9" i="3"/>
  <c r="Y9" i="3" s="1"/>
  <c r="W9" i="3"/>
  <c r="U9" i="3"/>
  <c r="V9" i="3" s="1"/>
  <c r="T9" i="3"/>
  <c r="T16" i="3" s="1"/>
  <c r="T30" i="3" s="1"/>
  <c r="R9" i="3"/>
  <c r="S9" i="3" s="1"/>
  <c r="Q9" i="3"/>
  <c r="Q16" i="3" s="1"/>
  <c r="O9" i="3"/>
  <c r="N9" i="3"/>
  <c r="L9" i="3"/>
  <c r="K9" i="3"/>
  <c r="K16" i="3" s="1"/>
  <c r="I9" i="3"/>
  <c r="J9" i="3" s="1"/>
  <c r="H9" i="3"/>
  <c r="F9" i="3"/>
  <c r="AO8" i="3"/>
  <c r="AL8" i="3"/>
  <c r="AI8" i="3"/>
  <c r="AF8" i="3"/>
  <c r="AC8" i="3"/>
  <c r="Z8" i="3"/>
  <c r="W8" i="3"/>
  <c r="T8" i="3"/>
  <c r="Q8" i="3"/>
  <c r="N8" i="3"/>
  <c r="K8" i="3"/>
  <c r="H8" i="3"/>
  <c r="H37" i="21"/>
  <c r="H483" i="3" l="1"/>
  <c r="AO111" i="3"/>
  <c r="AC138" i="3"/>
  <c r="AC158" i="3" s="1"/>
  <c r="AB158" i="3" s="1"/>
  <c r="M177" i="3"/>
  <c r="Y177" i="3"/>
  <c r="AK177" i="3"/>
  <c r="K192" i="3"/>
  <c r="W192" i="3"/>
  <c r="AI192" i="3"/>
  <c r="AH9" i="3"/>
  <c r="P10" i="3"/>
  <c r="E463" i="3"/>
  <c r="E115" i="3"/>
  <c r="N179" i="3"/>
  <c r="Z179" i="3"/>
  <c r="AL179" i="3"/>
  <c r="Z185" i="3"/>
  <c r="AL185" i="3"/>
  <c r="W245" i="3"/>
  <c r="Q483" i="3"/>
  <c r="P177" i="3"/>
  <c r="E279" i="3"/>
  <c r="AK303" i="3"/>
  <c r="T483" i="3"/>
  <c r="K111" i="3"/>
  <c r="AC111" i="3"/>
  <c r="AO138" i="3"/>
  <c r="AN138" i="3" s="1"/>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AJ100" i="3"/>
  <c r="AK116" i="3" s="1"/>
  <c r="AN103" i="3"/>
  <c r="J253" i="3"/>
  <c r="K254" i="3" s="1"/>
  <c r="E310" i="3"/>
  <c r="E342" i="3"/>
  <c r="H16" i="3"/>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H10" i="3"/>
  <c r="E18" i="3"/>
  <c r="AB180" i="3"/>
  <c r="F16" i="3"/>
  <c r="G24" i="3" s="1"/>
  <c r="U115" i="3"/>
  <c r="AF192" i="3"/>
  <c r="AF484" i="3"/>
  <c r="AO27" i="3"/>
  <c r="G9" i="3"/>
  <c r="W16" i="3"/>
  <c r="W30" i="3" s="1"/>
  <c r="AL16" i="3"/>
  <c r="AJ34" i="3" s="1"/>
  <c r="J20" i="3"/>
  <c r="AC182" i="3"/>
  <c r="AO182" i="3"/>
  <c r="Y186" i="3"/>
  <c r="E267" i="3"/>
  <c r="N469" i="3"/>
  <c r="AC254" i="3"/>
  <c r="J16" i="3"/>
  <c r="Q269" i="3"/>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W354" i="3" s="1"/>
  <c r="E330" i="3"/>
  <c r="E339" i="3"/>
  <c r="E341" i="3"/>
  <c r="E462" i="3"/>
  <c r="AM16" i="3"/>
  <c r="AN25" i="3" s="1"/>
  <c r="S10" i="3"/>
  <c r="C20" i="3"/>
  <c r="Q424" i="3"/>
  <c r="Q425" i="3"/>
  <c r="Q426" i="3"/>
  <c r="AO431" i="3"/>
  <c r="AO432" i="3"/>
  <c r="AO433" i="3"/>
  <c r="AI438" i="3"/>
  <c r="AI439" i="3"/>
  <c r="AF446" i="3"/>
  <c r="AF447" i="3"/>
  <c r="AF448" i="3"/>
  <c r="AF449" i="3"/>
  <c r="AF450" i="3"/>
  <c r="AC86" i="3"/>
  <c r="X116" i="3"/>
  <c r="Z125" i="3"/>
  <c r="Y125" i="3" s="1"/>
  <c r="AC156" i="3"/>
  <c r="AB156" i="3" s="1"/>
  <c r="AC166" i="3"/>
  <c r="D186" i="3"/>
  <c r="D194" i="3"/>
  <c r="E203" i="3"/>
  <c r="AC232" i="3"/>
  <c r="Z245" i="3"/>
  <c r="V253" i="3"/>
  <c r="AG307" i="3"/>
  <c r="E344" i="3"/>
  <c r="AO30"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Q307" i="3"/>
  <c r="C310" i="3"/>
  <c r="Q333" i="3"/>
  <c r="Q354" i="3" s="1"/>
  <c r="E464" i="3"/>
  <c r="K57" i="3"/>
  <c r="AO438" i="3"/>
  <c r="AO439" i="3"/>
  <c r="AL445" i="3"/>
  <c r="AL446" i="3"/>
  <c r="AL447" i="3"/>
  <c r="AL448" i="3"/>
  <c r="AL450" i="3"/>
  <c r="E151" i="3"/>
  <c r="S180" i="3"/>
  <c r="E187" i="3"/>
  <c r="AF245" i="3"/>
  <c r="AC269" i="3"/>
  <c r="E275" i="3"/>
  <c r="E281" i="3"/>
  <c r="S298" i="3"/>
  <c r="AK299" i="3"/>
  <c r="Y310" i="3"/>
  <c r="G311" i="3"/>
  <c r="Y311" i="3"/>
  <c r="AF333" i="3"/>
  <c r="T333" i="3"/>
  <c r="Q352" i="3"/>
  <c r="E346" i="3"/>
  <c r="T469" i="3"/>
  <c r="U16" i="3"/>
  <c r="U27" i="3" s="1"/>
  <c r="AO440" i="3"/>
  <c r="AO441" i="3"/>
  <c r="AO442" i="3"/>
  <c r="AO444" i="3"/>
  <c r="E96" i="3"/>
  <c r="M103" i="3"/>
  <c r="C175" i="3"/>
  <c r="R188" i="3"/>
  <c r="AD188" i="3"/>
  <c r="N288" i="3"/>
  <c r="M288" i="3" s="1"/>
  <c r="T307" i="3"/>
  <c r="T312" i="3" s="1"/>
  <c r="T317" i="3" s="1"/>
  <c r="AI333" i="3"/>
  <c r="AI354" i="3" s="1"/>
  <c r="AH354" i="3" s="1"/>
  <c r="W469" i="3"/>
  <c r="O16" i="3"/>
  <c r="O27" i="3" s="1"/>
  <c r="P34" i="3" s="1"/>
  <c r="I27" i="3"/>
  <c r="J37" i="3" s="1"/>
  <c r="AJ35" i="3"/>
  <c r="E65" i="3"/>
  <c r="Z111" i="3"/>
  <c r="E106" i="3"/>
  <c r="AM115" i="3"/>
  <c r="D175" i="3"/>
  <c r="D177" i="3" s="1"/>
  <c r="S177" i="3"/>
  <c r="AE177" i="3"/>
  <c r="AL176" i="3"/>
  <c r="C178" i="3"/>
  <c r="C188" i="3" s="1"/>
  <c r="Y180" i="3"/>
  <c r="AC192" i="3"/>
  <c r="AO192" i="3"/>
  <c r="AI269" i="3"/>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J156" i="3" s="1"/>
  <c r="E149" i="3"/>
  <c r="E225" i="3"/>
  <c r="H333" i="3"/>
  <c r="AL469" i="3"/>
  <c r="Q30" i="3"/>
  <c r="R35" i="3"/>
  <c r="L16" i="3"/>
  <c r="L30" i="3" s="1"/>
  <c r="AL424" i="3"/>
  <c r="AL426" i="3"/>
  <c r="C99" i="3"/>
  <c r="S103" i="3"/>
  <c r="K125" i="3"/>
  <c r="J125" i="3" s="1"/>
  <c r="N156" i="3"/>
  <c r="J177" i="3"/>
  <c r="V177" i="3"/>
  <c r="E181" i="3"/>
  <c r="H192" i="3"/>
  <c r="T192" i="3"/>
  <c r="AC195" i="3"/>
  <c r="AO195" i="3"/>
  <c r="AC213" i="3"/>
  <c r="AC234" i="3" s="1"/>
  <c r="E282" i="3"/>
  <c r="E298" i="3"/>
  <c r="Z307" i="3"/>
  <c r="Z312" i="3" s="1"/>
  <c r="Z317" i="3" s="1"/>
  <c r="Y333" i="3" s="1"/>
  <c r="E299" i="3"/>
  <c r="Y301" i="3"/>
  <c r="Y302" i="3"/>
  <c r="E494" i="3"/>
  <c r="I30" i="3"/>
  <c r="E8" i="3"/>
  <c r="Z16" i="3"/>
  <c r="E22" i="3"/>
  <c r="Z27" i="3"/>
  <c r="X35" i="3" s="1"/>
  <c r="E10" i="3"/>
  <c r="E16" i="3" s="1"/>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E447" i="3" s="1"/>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AB333" i="3" s="1"/>
  <c r="J300" i="3"/>
  <c r="AB300" i="3"/>
  <c r="J301" i="3"/>
  <c r="AB301" i="3"/>
  <c r="AB302" i="3"/>
  <c r="J303" i="3"/>
  <c r="AB303" i="3"/>
  <c r="K469" i="3"/>
  <c r="AG35" i="3"/>
  <c r="AI30" i="3"/>
  <c r="E400" i="3"/>
  <c r="D400" i="3" s="1"/>
  <c r="D380" i="3"/>
  <c r="AB125" i="3"/>
  <c r="N290" i="3"/>
  <c r="M290" i="3" s="1"/>
  <c r="AA30" i="3"/>
  <c r="AB26" i="3"/>
  <c r="AB25" i="3"/>
  <c r="AB24" i="3"/>
  <c r="I35" i="3"/>
  <c r="K30" i="3"/>
  <c r="J57" i="3" s="1"/>
  <c r="S333" i="3"/>
  <c r="T354" i="3"/>
  <c r="S354" i="3" s="1"/>
  <c r="AE269" i="3"/>
  <c r="T356" i="3"/>
  <c r="AH333" i="3"/>
  <c r="O30" i="3"/>
  <c r="P30" i="3" s="1"/>
  <c r="P26" i="3"/>
  <c r="P24" i="3"/>
  <c r="P16" i="3"/>
  <c r="P25" i="3"/>
  <c r="J27" i="3"/>
  <c r="J34" i="3"/>
  <c r="G234" i="3"/>
  <c r="AH269" i="3"/>
  <c r="P269" i="3"/>
  <c r="Q290" i="3"/>
  <c r="P290" i="3" s="1"/>
  <c r="AM30" i="3"/>
  <c r="AN30" i="3" s="1"/>
  <c r="AN16" i="3"/>
  <c r="AM27" i="3"/>
  <c r="AN35" i="3" s="1"/>
  <c r="X34" i="3"/>
  <c r="U35" i="3"/>
  <c r="M24" i="3"/>
  <c r="AF30" i="3"/>
  <c r="AA27" i="3"/>
  <c r="AB39" i="3" s="1"/>
  <c r="N44" i="3"/>
  <c r="AF44" i="3"/>
  <c r="P416" i="3"/>
  <c r="E414" i="3"/>
  <c r="AJ16" i="3"/>
  <c r="AK417" i="3" s="1"/>
  <c r="H27" i="3"/>
  <c r="F35" i="3" s="1"/>
  <c r="J24" i="3"/>
  <c r="G25" i="3"/>
  <c r="AB35" i="3"/>
  <c r="J39" i="3"/>
  <c r="K437" i="3"/>
  <c r="K75" i="3"/>
  <c r="E60" i="3"/>
  <c r="N86" i="3"/>
  <c r="AA100" i="3"/>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Z354" i="3"/>
  <c r="Y354" i="3" s="1"/>
  <c r="E412" i="3"/>
  <c r="AC57" i="3"/>
  <c r="N437" i="3"/>
  <c r="N75" i="3"/>
  <c r="F100" i="3"/>
  <c r="G414" i="3" s="1"/>
  <c r="C97" i="3"/>
  <c r="AH121" i="3"/>
  <c r="AH116" i="3"/>
  <c r="AH106" i="3"/>
  <c r="AH120" i="3"/>
  <c r="AH105" i="3"/>
  <c r="AH124" i="3"/>
  <c r="AH115" i="3"/>
  <c r="AH119" i="3"/>
  <c r="AH123" i="3"/>
  <c r="AH118" i="3"/>
  <c r="N477" i="3"/>
  <c r="N166" i="3"/>
  <c r="T176" i="3"/>
  <c r="T188" i="3"/>
  <c r="AF176" i="3"/>
  <c r="AF188" i="3"/>
  <c r="H189" i="3"/>
  <c r="W254" i="3"/>
  <c r="AC354" i="3"/>
  <c r="D9" i="3"/>
  <c r="P9" i="3"/>
  <c r="AB9" i="3"/>
  <c r="AN9" i="3"/>
  <c r="M10" i="3"/>
  <c r="Y10" i="3"/>
  <c r="G16" i="3"/>
  <c r="S16" i="3"/>
  <c r="D18" i="3"/>
  <c r="P18" i="3"/>
  <c r="AB18" i="3"/>
  <c r="AN18" i="3"/>
  <c r="M20" i="3"/>
  <c r="J25" i="3"/>
  <c r="I34" i="3"/>
  <c r="U34" i="3"/>
  <c r="AG34" i="3"/>
  <c r="J40" i="3"/>
  <c r="E62" i="3"/>
  <c r="AL75" i="3"/>
  <c r="AF86" i="3"/>
  <c r="G97" i="3"/>
  <c r="P98" i="3"/>
  <c r="E99" i="3"/>
  <c r="AH100" i="3"/>
  <c r="AL108" i="3"/>
  <c r="AJ116" i="3" s="1"/>
  <c r="E107" i="3"/>
  <c r="AH107" i="3"/>
  <c r="AH122" i="3"/>
  <c r="AL156" i="3"/>
  <c r="Q477" i="3"/>
  <c r="Q166" i="3"/>
  <c r="AI213" i="3"/>
  <c r="AF213" i="3"/>
  <c r="E208" i="3"/>
  <c r="N254" i="3"/>
  <c r="AF254" i="3"/>
  <c r="T290" i="3"/>
  <c r="S290" i="3" s="1"/>
  <c r="E265" i="3"/>
  <c r="E280" i="3"/>
  <c r="E284" i="3"/>
  <c r="C298" i="3"/>
  <c r="J298" i="3"/>
  <c r="AA307" i="3"/>
  <c r="C301" i="3"/>
  <c r="D301" i="3" s="1"/>
  <c r="AF354" i="3"/>
  <c r="Q44" i="3"/>
  <c r="AI44" i="3"/>
  <c r="E63" i="3"/>
  <c r="H100" i="3"/>
  <c r="E97" i="3"/>
  <c r="J123" i="3"/>
  <c r="E139" i="3"/>
  <c r="AN156" i="3"/>
  <c r="AF156" i="3"/>
  <c r="G197" i="3"/>
  <c r="H198" i="3" s="1"/>
  <c r="W269" i="3"/>
  <c r="E258" i="3"/>
  <c r="C303" i="3"/>
  <c r="G303" i="3"/>
  <c r="AL484" i="3"/>
  <c r="E36" i="3"/>
  <c r="N57" i="3"/>
  <c r="C10" i="3"/>
  <c r="AH24" i="3"/>
  <c r="J26"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E185" i="3" s="1"/>
  <c r="Q185" i="3"/>
  <c r="AC185" i="3"/>
  <c r="AO185" i="3"/>
  <c r="Q245" i="3"/>
  <c r="Q253" i="3"/>
  <c r="Y269" i="3"/>
  <c r="L307" i="3"/>
  <c r="M298" i="3"/>
  <c r="D310" i="3"/>
  <c r="AH352" i="3"/>
  <c r="AH417" i="3"/>
  <c r="T44" i="3"/>
  <c r="AL44" i="3"/>
  <c r="AC425" i="3"/>
  <c r="E54" i="3"/>
  <c r="Q57" i="3"/>
  <c r="P57" i="3" s="1"/>
  <c r="AI57" i="3"/>
  <c r="Z437" i="3"/>
  <c r="T439" i="3"/>
  <c r="N441" i="3"/>
  <c r="K442" i="3"/>
  <c r="W451" i="3"/>
  <c r="AM100" i="3"/>
  <c r="AN413" i="3" s="1"/>
  <c r="T108" i="3"/>
  <c r="X115" i="3"/>
  <c r="AB138" i="3"/>
  <c r="E135" i="3"/>
  <c r="E142" i="3"/>
  <c r="E146" i="3"/>
  <c r="E147" i="3"/>
  <c r="E148" i="3"/>
  <c r="L188" i="3"/>
  <c r="X188" i="3"/>
  <c r="Y189" i="3" s="1"/>
  <c r="AJ188" i="3"/>
  <c r="J197" i="3"/>
  <c r="E202" i="3"/>
  <c r="AL232" i="3"/>
  <c r="AB269" i="3"/>
  <c r="E283" i="3"/>
  <c r="N307" i="3"/>
  <c r="N312" i="3" s="1"/>
  <c r="N317" i="3" s="1"/>
  <c r="C302" i="3"/>
  <c r="D302" i="3" s="1"/>
  <c r="J302" i="3"/>
  <c r="E321" i="3"/>
  <c r="AO354" i="3"/>
  <c r="AL352" i="3"/>
  <c r="Y380" i="3"/>
  <c r="Z400" i="3"/>
  <c r="Y400" i="3" s="1"/>
  <c r="AF57" i="3"/>
  <c r="AC437" i="3"/>
  <c r="AC75" i="3"/>
  <c r="K444" i="3"/>
  <c r="H445" i="3"/>
  <c r="E66" i="3"/>
  <c r="AO446" i="3"/>
  <c r="Q75" i="3"/>
  <c r="P75" i="3" s="1"/>
  <c r="L100" i="3"/>
  <c r="C103" i="3"/>
  <c r="AG108" i="3"/>
  <c r="AH108" i="3" s="1"/>
  <c r="AA115" i="3"/>
  <c r="AK121" i="3"/>
  <c r="E141" i="3"/>
  <c r="D181" i="3"/>
  <c r="D183" i="3" s="1"/>
  <c r="G183" i="3"/>
  <c r="S188" i="3"/>
  <c r="E214" i="3"/>
  <c r="AF232" i="3"/>
  <c r="T245" i="3"/>
  <c r="T253" i="3"/>
  <c r="AL245" i="3"/>
  <c r="AL253" i="3"/>
  <c r="AO254" i="3"/>
  <c r="P307" i="3"/>
  <c r="O312" i="3"/>
  <c r="C311" i="3"/>
  <c r="E323" i="3"/>
  <c r="AB413" i="3"/>
  <c r="E52" i="3"/>
  <c r="Z42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Q312" i="3"/>
  <c r="Q317" i="3" s="1"/>
  <c r="E305" i="3"/>
  <c r="F307" i="3"/>
  <c r="K333" i="3"/>
  <c r="E322" i="3"/>
  <c r="E335" i="3"/>
  <c r="E338" i="3"/>
  <c r="AE380" i="3"/>
  <c r="AF400" i="3"/>
  <c r="AE400" i="3" s="1"/>
  <c r="T422" i="3"/>
  <c r="AN415" i="3"/>
  <c r="N422" i="3"/>
  <c r="E415" i="3"/>
  <c r="J18" i="3"/>
  <c r="V18" i="3"/>
  <c r="AH18" i="3"/>
  <c r="S25" i="3"/>
  <c r="AH26" i="3"/>
  <c r="R30" i="3"/>
  <c r="S30" i="3" s="1"/>
  <c r="AD30" i="3"/>
  <c r="AE30" i="3" s="1"/>
  <c r="O34" i="3"/>
  <c r="AA34" i="3"/>
  <c r="AM34" i="3"/>
  <c r="L35" i="3"/>
  <c r="AB37" i="3"/>
  <c r="E45" i="3"/>
  <c r="AL425" i="3"/>
  <c r="AI426" i="3"/>
  <c r="Q432" i="3"/>
  <c r="N433" i="3"/>
  <c r="AI437" i="3"/>
  <c r="AF438" i="3"/>
  <c r="AC439" i="3"/>
  <c r="Z440" i="3"/>
  <c r="W441" i="3"/>
  <c r="E68" i="3"/>
  <c r="AL449" i="3"/>
  <c r="E449" i="3" s="1"/>
  <c r="AI450" i="3"/>
  <c r="T75" i="3"/>
  <c r="S75" i="3" s="1"/>
  <c r="Q474" i="3"/>
  <c r="Q484" i="3" s="1"/>
  <c r="Q86" i="3"/>
  <c r="AI483" i="3"/>
  <c r="AE97" i="3"/>
  <c r="U100" i="3"/>
  <c r="E103" i="3"/>
  <c r="I116" i="3"/>
  <c r="AH117" i="3"/>
  <c r="J119" i="3"/>
  <c r="AL138" i="3"/>
  <c r="E133" i="3"/>
  <c r="H138" i="3"/>
  <c r="H158" i="3" s="1"/>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AE417" i="3"/>
  <c r="R27" i="3"/>
  <c r="S36" i="3" s="1"/>
  <c r="E37" i="3"/>
  <c r="E55" i="3"/>
  <c r="N16" i="3"/>
  <c r="E24" i="3"/>
  <c r="AB415" i="3"/>
  <c r="E39" i="3"/>
  <c r="H44" i="3"/>
  <c r="Z44" i="3"/>
  <c r="E46" i="3"/>
  <c r="W57" i="3"/>
  <c r="AO57" i="3"/>
  <c r="AN57" i="3" s="1"/>
  <c r="AF439" i="3"/>
  <c r="E448" i="3"/>
  <c r="E69" i="3"/>
  <c r="T474" i="3"/>
  <c r="T86" i="3"/>
  <c r="N484" i="3"/>
  <c r="Q100" i="3"/>
  <c r="Q111" i="3" s="1"/>
  <c r="AK106" i="3"/>
  <c r="AJ108" i="3"/>
  <c r="E144" i="3"/>
  <c r="T156" i="3"/>
  <c r="P188" i="3"/>
  <c r="AN188" i="3"/>
  <c r="AE188" i="3"/>
  <c r="E191" i="3"/>
  <c r="E192" i="3" s="1"/>
  <c r="T213" i="3"/>
  <c r="E216" i="3"/>
  <c r="E222" i="3"/>
  <c r="E226" i="3"/>
  <c r="K234" i="3"/>
  <c r="AO269" i="3"/>
  <c r="AL288" i="3"/>
  <c r="AK288" i="3" s="1"/>
  <c r="AL307" i="3"/>
  <c r="AL312" i="3" s="1"/>
  <c r="AL317" i="3" s="1"/>
  <c r="AH302" i="3"/>
  <c r="I307" i="3"/>
  <c r="M352" i="3"/>
  <c r="E337" i="3"/>
  <c r="AD27" i="3"/>
  <c r="AE39" i="3" s="1"/>
  <c r="S24" i="3"/>
  <c r="E416" i="3"/>
  <c r="V25" i="3"/>
  <c r="E34" i="3"/>
  <c r="Q422" i="3"/>
  <c r="AB412" i="3"/>
  <c r="AC422" i="3"/>
  <c r="AO422" i="3"/>
  <c r="AL413" i="3"/>
  <c r="J38" i="3"/>
  <c r="AB38" i="3"/>
  <c r="E47" i="3"/>
  <c r="W432" i="3"/>
  <c r="Q434" i="3"/>
  <c r="E58" i="3"/>
  <c r="AO437" i="3"/>
  <c r="AO75" i="3"/>
  <c r="AN75" i="3" s="1"/>
  <c r="AL438" i="3"/>
  <c r="AF440" i="3"/>
  <c r="AC441" i="3"/>
  <c r="W444" i="3"/>
  <c r="E70" i="3"/>
  <c r="Z75" i="3"/>
  <c r="W474" i="3"/>
  <c r="W86" i="3"/>
  <c r="E85" i="3"/>
  <c r="R100" i="3"/>
  <c r="S413" i="3" s="1"/>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AB417" i="3"/>
  <c r="V415" i="3"/>
  <c r="F34" i="3"/>
  <c r="R34" i="3"/>
  <c r="AD34" i="3"/>
  <c r="O35" i="3"/>
  <c r="AM35" i="3"/>
  <c r="AH414" i="3"/>
  <c r="AE415" i="3"/>
  <c r="AB416" i="3"/>
  <c r="H417" i="3"/>
  <c r="H422" i="3" s="1"/>
  <c r="E40" i="3"/>
  <c r="W418" i="3"/>
  <c r="V418" i="3" s="1"/>
  <c r="K44" i="3"/>
  <c r="AC44" i="3"/>
  <c r="W433" i="3"/>
  <c r="H57" i="3"/>
  <c r="Z57" i="3"/>
  <c r="E59" i="3"/>
  <c r="AL439" i="3"/>
  <c r="AF441" i="3"/>
  <c r="AC442" i="3"/>
  <c r="W445" i="3"/>
  <c r="E71" i="3"/>
  <c r="Z474" i="3"/>
  <c r="Z86" i="3"/>
  <c r="K86" i="3"/>
  <c r="S97" i="3"/>
  <c r="X100" i="3"/>
  <c r="AG115" i="3"/>
  <c r="K138" i="3"/>
  <c r="J138" i="3" s="1"/>
  <c r="H477" i="3"/>
  <c r="H166" i="3"/>
  <c r="E159" i="3"/>
  <c r="E160" i="3"/>
  <c r="AO478" i="3"/>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E478" i="3"/>
  <c r="H352" i="3"/>
  <c r="AF402" i="3"/>
  <c r="AB380" i="3"/>
  <c r="AC400" i="3"/>
  <c r="AB400" i="3" s="1"/>
  <c r="Q451" i="3"/>
  <c r="T484" i="3"/>
  <c r="AO86" i="3"/>
  <c r="AI166" i="3"/>
  <c r="N176" i="3"/>
  <c r="D178" i="3"/>
  <c r="D180" i="3" s="1"/>
  <c r="W188" i="3"/>
  <c r="E244" i="3"/>
  <c r="E245" i="3" s="1"/>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E474" i="3"/>
  <c r="AI484" i="3"/>
  <c r="AJ115" i="3"/>
  <c r="AB188" i="3"/>
  <c r="W484" i="3"/>
  <c r="AI451" i="3"/>
  <c r="Z483" i="3"/>
  <c r="Q402" i="3"/>
  <c r="AC402" i="3"/>
  <c r="AO402" i="3"/>
  <c r="V380" i="3"/>
  <c r="E423" i="3"/>
  <c r="E456" i="3"/>
  <c r="E457" i="3"/>
  <c r="Z469" i="3"/>
  <c r="A496" i="9"/>
  <c r="AN418" i="3" l="1"/>
  <c r="AE307" i="3"/>
  <c r="Z158" i="3"/>
  <c r="Y158" i="3" s="1"/>
  <c r="AO484" i="3"/>
  <c r="E426" i="3"/>
  <c r="D10" i="3"/>
  <c r="Z30" i="3"/>
  <c r="Y57" i="3" s="1"/>
  <c r="Z168" i="3"/>
  <c r="Y75" i="3"/>
  <c r="AN40" i="3"/>
  <c r="G416" i="3"/>
  <c r="AN417" i="3"/>
  <c r="F30" i="3"/>
  <c r="G232" i="3"/>
  <c r="AK189" i="3"/>
  <c r="AN36" i="3"/>
  <c r="AE16" i="3"/>
  <c r="G412" i="3"/>
  <c r="J35" i="3"/>
  <c r="P415" i="3"/>
  <c r="O108" i="3"/>
  <c r="AN39" i="3"/>
  <c r="E483" i="3"/>
  <c r="E477" i="3"/>
  <c r="E484" i="3" s="1"/>
  <c r="E27" i="3"/>
  <c r="V24" i="3"/>
  <c r="AE75" i="3"/>
  <c r="AN37" i="3"/>
  <c r="AN26" i="3"/>
  <c r="J36" i="3"/>
  <c r="P107" i="3"/>
  <c r="AN414" i="3"/>
  <c r="G413" i="3"/>
  <c r="G26" i="3"/>
  <c r="G418" i="3"/>
  <c r="AN24" i="3"/>
  <c r="AL30" i="3"/>
  <c r="AK57" i="3" s="1"/>
  <c r="P123" i="3"/>
  <c r="K197" i="3"/>
  <c r="U116" i="3"/>
  <c r="D99" i="3"/>
  <c r="P413" i="3"/>
  <c r="P116" i="3"/>
  <c r="Y138" i="3"/>
  <c r="AE24" i="3"/>
  <c r="P119" i="3"/>
  <c r="AE138" i="3"/>
  <c r="G352" i="3"/>
  <c r="P412" i="3"/>
  <c r="V414" i="3"/>
  <c r="P418" i="3"/>
  <c r="G213" i="3"/>
  <c r="V26" i="3"/>
  <c r="P122" i="3"/>
  <c r="P106" i="3"/>
  <c r="AD115" i="3"/>
  <c r="G415" i="3"/>
  <c r="Q356"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X30" i="3"/>
  <c r="E450" i="3"/>
  <c r="Y16" i="3"/>
  <c r="C35" i="3"/>
  <c r="Y24" i="3"/>
  <c r="Y417" i="3"/>
  <c r="E108" i="3"/>
  <c r="C116" i="3" s="1"/>
  <c r="W436" i="3"/>
  <c r="Z436" i="3"/>
  <c r="AC436" i="3"/>
  <c r="AF436" i="3"/>
  <c r="AO436" i="3"/>
  <c r="H436" i="3"/>
  <c r="K436" i="3"/>
  <c r="N436" i="3"/>
  <c r="T436" i="3"/>
  <c r="T471" i="3" s="1"/>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G38" i="3"/>
  <c r="AK412" i="3"/>
  <c r="E307" i="3"/>
  <c r="E312" i="3" s="1"/>
  <c r="E317" i="3" s="1"/>
  <c r="E442" i="3"/>
  <c r="AK416" i="3"/>
  <c r="G36" i="3"/>
  <c r="J124" i="3"/>
  <c r="P35" i="3"/>
  <c r="P120" i="3"/>
  <c r="AH307" i="3"/>
  <c r="AG312" i="3"/>
  <c r="AK413" i="3"/>
  <c r="E441" i="3"/>
  <c r="J105" i="3"/>
  <c r="I111" i="3"/>
  <c r="J111" i="3" s="1"/>
  <c r="O111" i="3"/>
  <c r="P111" i="3" s="1"/>
  <c r="AG30" i="3"/>
  <c r="AH25" i="3"/>
  <c r="AH16" i="3"/>
  <c r="D20" i="3"/>
  <c r="S415" i="3"/>
  <c r="E439" i="3"/>
  <c r="AE352" i="3"/>
  <c r="J120" i="3"/>
  <c r="P108" i="3"/>
  <c r="P40" i="3"/>
  <c r="AG27" i="3"/>
  <c r="AB352" i="3"/>
  <c r="E451" i="3"/>
  <c r="E434" i="3"/>
  <c r="AK414" i="3"/>
  <c r="AK418" i="3"/>
  <c r="AK415" i="3"/>
  <c r="E445" i="3"/>
  <c r="J121" i="3"/>
  <c r="AE354" i="3"/>
  <c r="P38" i="3"/>
  <c r="P27" i="3"/>
  <c r="E444" i="3"/>
  <c r="V75" i="3"/>
  <c r="D303" i="3"/>
  <c r="J115" i="3"/>
  <c r="N292" i="3"/>
  <c r="J416" i="3"/>
  <c r="G39" i="3"/>
  <c r="P124" i="3"/>
  <c r="P121" i="3"/>
  <c r="AH416" i="3"/>
  <c r="V354"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471" i="3"/>
  <c r="Q234" i="3"/>
  <c r="P234" i="3" s="1"/>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K410" i="3"/>
  <c r="I422" i="3" s="1"/>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198" i="3"/>
  <c r="K236" i="3"/>
  <c r="D311" i="3"/>
  <c r="J213"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AO471" i="3" s="1"/>
  <c r="Z77" i="3"/>
  <c r="Y77" i="3" s="1"/>
  <c r="Y44" i="3"/>
  <c r="S39" i="3"/>
  <c r="S35" i="3"/>
  <c r="S27" i="3"/>
  <c r="S40" i="3"/>
  <c r="S417" i="3"/>
  <c r="P312" i="3"/>
  <c r="O317" i="3"/>
  <c r="S189" i="3"/>
  <c r="S197" i="3"/>
  <c r="E333" i="3"/>
  <c r="T77" i="3"/>
  <c r="S44" i="3"/>
  <c r="E125" i="3"/>
  <c r="AB418" i="3"/>
  <c r="Y307" i="3"/>
  <c r="X312" i="3"/>
  <c r="J75" i="3"/>
  <c r="J30" i="3"/>
  <c r="J333" i="3"/>
  <c r="K354" i="3"/>
  <c r="AI436" i="3"/>
  <c r="E453" i="3"/>
  <c r="H484" i="3"/>
  <c r="E75" i="3"/>
  <c r="AE189" i="3"/>
  <c r="AE197" i="3"/>
  <c r="H77" i="3"/>
  <c r="G77" i="3" s="1"/>
  <c r="G44"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I455" i="3" s="1"/>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N168" i="3"/>
  <c r="AO77" i="3"/>
  <c r="AN44" i="3"/>
  <c r="Y414" i="3"/>
  <c r="M418" i="3"/>
  <c r="M416" i="3"/>
  <c r="D97" i="3"/>
  <c r="C100" i="3"/>
  <c r="Y40" i="3"/>
  <c r="E419" i="3"/>
  <c r="W356"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11" i="3" s="1"/>
  <c r="G105" i="3"/>
  <c r="G119" i="3"/>
  <c r="G107" i="3"/>
  <c r="G120" i="3"/>
  <c r="V352" i="3"/>
  <c r="M138" i="3"/>
  <c r="AJ27" i="3"/>
  <c r="AK26" i="3"/>
  <c r="AK25" i="3"/>
  <c r="AK16" i="3"/>
  <c r="AK24" i="3"/>
  <c r="AJ30" i="3"/>
  <c r="AK30" i="3" s="1"/>
  <c r="AH30" i="3"/>
  <c r="AL88" i="3"/>
  <c r="P333" i="3"/>
  <c r="AH213" i="3"/>
  <c r="AI234" i="3"/>
  <c r="AH234" i="3" s="1"/>
  <c r="Z402" i="3"/>
  <c r="E420" i="3"/>
  <c r="M413" i="3"/>
  <c r="M414" i="3"/>
  <c r="AL356" i="3"/>
  <c r="E352" i="3"/>
  <c r="AL254" i="3"/>
  <c r="AC455" i="3"/>
  <c r="AC471" i="3" s="1"/>
  <c r="Q292" i="3"/>
  <c r="Q254" i="3"/>
  <c r="S38" i="3"/>
  <c r="V412" i="3"/>
  <c r="T158" i="3"/>
  <c r="AE34" i="3"/>
  <c r="E30" i="3"/>
  <c r="Y30" i="3"/>
  <c r="P354" i="3"/>
  <c r="AI158" i="3"/>
  <c r="AH158" i="3" s="1"/>
  <c r="AH125" i="3"/>
  <c r="E421" i="3"/>
  <c r="W197" i="3"/>
  <c r="V234" i="3" s="1"/>
  <c r="W189" i="3"/>
  <c r="AC77" i="3"/>
  <c r="M333" i="3"/>
  <c r="N354" i="3"/>
  <c r="M354" i="3" s="1"/>
  <c r="AI455" i="3"/>
  <c r="G35" i="3"/>
  <c r="G27" i="3"/>
  <c r="G37" i="3"/>
  <c r="Z455" i="3"/>
  <c r="E156" i="3"/>
  <c r="J232"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C412" i="3" s="1"/>
  <c r="AB307" i="3"/>
  <c r="AA312" i="3"/>
  <c r="AB40" i="3"/>
  <c r="AC356" i="3"/>
  <c r="V307" i="3"/>
  <c r="U312" i="3"/>
  <c r="P158" i="3"/>
  <c r="AE38" i="3"/>
  <c r="G34"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AL292" i="3" l="1"/>
  <c r="M40" i="3"/>
  <c r="Z410" i="3"/>
  <c r="X484" i="3" s="1"/>
  <c r="AB75" i="3"/>
  <c r="AK75" i="3"/>
  <c r="G30" i="3"/>
  <c r="M34" i="3"/>
  <c r="S158" i="3"/>
  <c r="M37" i="3"/>
  <c r="N471" i="3"/>
  <c r="AB44" i="3"/>
  <c r="AB30" i="3"/>
  <c r="N356" i="3"/>
  <c r="P213" i="3"/>
  <c r="AE290" i="3"/>
  <c r="AF292" i="3"/>
  <c r="G57" i="3"/>
  <c r="E436" i="3"/>
  <c r="AF410" i="3"/>
  <c r="AD469" i="3" s="1"/>
  <c r="S111" i="3"/>
  <c r="G75" i="3"/>
  <c r="E234" i="3"/>
  <c r="X455" i="3"/>
  <c r="M27" i="3"/>
  <c r="M35" i="3"/>
  <c r="O484" i="3"/>
  <c r="O422" i="3"/>
  <c r="S234" i="3"/>
  <c r="S213" i="3"/>
  <c r="AB290" i="3"/>
  <c r="I484" i="3"/>
  <c r="AG317" i="3"/>
  <c r="AH312" i="3"/>
  <c r="X469" i="3"/>
  <c r="AK158" i="3"/>
  <c r="O471" i="3"/>
  <c r="AG484" i="3"/>
  <c r="AH38" i="3"/>
  <c r="AH27" i="3"/>
  <c r="AH36" i="3"/>
  <c r="AH40" i="3"/>
  <c r="AH35" i="3"/>
  <c r="AH37" i="3"/>
  <c r="AH34" i="3"/>
  <c r="AH39" i="3"/>
  <c r="K471" i="3"/>
  <c r="I471" i="3" s="1"/>
  <c r="AK156" i="3"/>
  <c r="AK234" i="3"/>
  <c r="D352" i="3"/>
  <c r="M234" i="3"/>
  <c r="AG455" i="3"/>
  <c r="AI168" i="3"/>
  <c r="D412" i="3"/>
  <c r="AI236" i="3"/>
  <c r="AI88" i="3"/>
  <c r="M39" i="3"/>
  <c r="M36" i="3"/>
  <c r="W471" i="3"/>
  <c r="AM471" i="3"/>
  <c r="H410" i="3"/>
  <c r="F471" i="3" s="1"/>
  <c r="L317" i="3"/>
  <c r="M312" i="3"/>
  <c r="E354" i="3"/>
  <c r="D333" i="3"/>
  <c r="D413" i="3"/>
  <c r="C413" i="3"/>
  <c r="D57" i="3"/>
  <c r="T168" i="3"/>
  <c r="T410" i="3"/>
  <c r="R471" i="3" s="1"/>
  <c r="S125" i="3"/>
  <c r="S138" i="3"/>
  <c r="AB312" i="3"/>
  <c r="AA317" i="3"/>
  <c r="D269" i="3"/>
  <c r="E290" i="3"/>
  <c r="D290" i="3" s="1"/>
  <c r="AB77" i="3"/>
  <c r="AC88" i="3"/>
  <c r="D119" i="3"/>
  <c r="C111" i="3"/>
  <c r="D111" i="3" s="1"/>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X422" i="3"/>
  <c r="D197" i="3"/>
  <c r="D189" i="3"/>
  <c r="AG469" i="3"/>
  <c r="W88" i="3"/>
  <c r="AE158" i="3"/>
  <c r="AF168" i="3"/>
  <c r="X436" i="3"/>
  <c r="H168" i="3"/>
  <c r="G125" i="3"/>
  <c r="G156" i="3"/>
  <c r="AN290" i="3"/>
  <c r="AO292" i="3"/>
  <c r="AK35" i="3"/>
  <c r="AK39" i="3"/>
  <c r="AK27" i="3"/>
  <c r="AK34" i="3"/>
  <c r="AK38" i="3"/>
  <c r="AK37" i="3"/>
  <c r="AK40" i="3"/>
  <c r="AK36" i="3"/>
  <c r="AI471" i="3"/>
  <c r="AG471" i="3" s="1"/>
  <c r="AD422" i="3"/>
  <c r="Z471" i="3"/>
  <c r="X471" i="3" s="1"/>
  <c r="AN312" i="3"/>
  <c r="AM317" i="3"/>
  <c r="W168" i="3"/>
  <c r="W410" i="3"/>
  <c r="U422" i="3" s="1"/>
  <c r="AF236" i="3"/>
  <c r="AF198" i="3"/>
  <c r="Z236" i="3"/>
  <c r="Z198" i="3"/>
  <c r="Y232" i="3"/>
  <c r="Y213" i="3"/>
  <c r="F484" i="3"/>
  <c r="E77" i="3"/>
  <c r="D77" i="3" s="1"/>
  <c r="D44" i="3"/>
  <c r="AL198" i="3"/>
  <c r="AL236" i="3"/>
  <c r="AK213" i="3"/>
  <c r="H292" i="3"/>
  <c r="O455" i="3"/>
  <c r="O436" i="3"/>
  <c r="I317" i="3"/>
  <c r="J312" i="3"/>
  <c r="AE232" i="3"/>
  <c r="E455" i="3"/>
  <c r="AO198" i="3"/>
  <c r="AO236" i="3"/>
  <c r="AN234" i="3"/>
  <c r="AN213" i="3"/>
  <c r="AO410" i="3"/>
  <c r="AM455" i="3" s="1"/>
  <c r="AN232" i="3"/>
  <c r="E422" i="3"/>
  <c r="AH290" i="3"/>
  <c r="AI292" i="3"/>
  <c r="G138" i="3"/>
  <c r="D75"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D232" i="3"/>
  <c r="S312" i="3"/>
  <c r="R317" i="3"/>
  <c r="U317" i="3"/>
  <c r="V312" i="3"/>
  <c r="D16" i="3"/>
  <c r="D25" i="3"/>
  <c r="C30" i="3"/>
  <c r="D30" i="3" s="1"/>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E410" i="3" l="1"/>
  <c r="AI486" i="3"/>
  <c r="D418" i="3"/>
  <c r="F455" i="3"/>
  <c r="AD484" i="3"/>
  <c r="AD455" i="3"/>
  <c r="D234" i="3"/>
  <c r="AD436" i="3"/>
  <c r="AH317" i="3"/>
  <c r="AI409" i="3"/>
  <c r="AH486" i="3" s="1"/>
  <c r="E292" i="3"/>
  <c r="Z486" i="3"/>
  <c r="Z492" i="3" s="1"/>
  <c r="AF486" i="3"/>
  <c r="AE486" i="3" s="1"/>
  <c r="K486" i="3"/>
  <c r="K492" i="3" s="1"/>
  <c r="E88" i="3"/>
  <c r="D88" i="3" s="1"/>
  <c r="AF492" i="3"/>
  <c r="C469" i="3"/>
  <c r="C484" i="3"/>
  <c r="AN317" i="3"/>
  <c r="AO409" i="3"/>
  <c r="S317" i="3"/>
  <c r="T409" i="3"/>
  <c r="E168" i="3"/>
  <c r="D168" i="3" s="1"/>
  <c r="D138" i="3"/>
  <c r="AC486" i="3"/>
  <c r="AA469" i="3"/>
  <c r="AA484" i="3"/>
  <c r="AA436" i="3"/>
  <c r="AA422" i="3"/>
  <c r="U471" i="3"/>
  <c r="AI492" i="3"/>
  <c r="D432" i="3"/>
  <c r="D431" i="3"/>
  <c r="D433" i="3"/>
  <c r="D434" i="3"/>
  <c r="D354" i="3"/>
  <c r="E356" i="3"/>
  <c r="D356" i="3" s="1"/>
  <c r="C436" i="3"/>
  <c r="G317" i="3"/>
  <c r="H409" i="3"/>
  <c r="V317" i="3"/>
  <c r="W409" i="3"/>
  <c r="AA471" i="3"/>
  <c r="P486" i="3"/>
  <c r="Q492" i="3"/>
  <c r="N486" i="3"/>
  <c r="L469" i="3"/>
  <c r="L422" i="3"/>
  <c r="L484" i="3"/>
  <c r="L436" i="3"/>
  <c r="C455" i="3"/>
  <c r="D156" i="3"/>
  <c r="AB317" i="3"/>
  <c r="AC409" i="3"/>
  <c r="N409" i="3"/>
  <c r="M317" i="3"/>
  <c r="L471" i="3"/>
  <c r="W486" i="3"/>
  <c r="U469" i="3"/>
  <c r="U436" i="3"/>
  <c r="U455" i="3"/>
  <c r="U484" i="3"/>
  <c r="D312" i="3"/>
  <c r="C317" i="3"/>
  <c r="D317" i="3" s="1"/>
  <c r="D125" i="3"/>
  <c r="J317" i="3"/>
  <c r="K409" i="3"/>
  <c r="AL486" i="3"/>
  <c r="AJ469" i="3"/>
  <c r="AJ455" i="3"/>
  <c r="AJ484" i="3"/>
  <c r="AJ436" i="3"/>
  <c r="D158" i="3"/>
  <c r="C422" i="3"/>
  <c r="E471" i="3"/>
  <c r="C471" i="3" s="1"/>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D422" i="3" l="1"/>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0" i="9" l="1"/>
  <c r="AF496" i="9"/>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<sst xmlns="http://schemas.openxmlformats.org/spreadsheetml/2006/main" count="18279" uniqueCount="3962">
  <si>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</si>
  <si>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</si>
  <si>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</si>
  <si>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</si>
  <si>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</si>
  <si>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</si>
  <si>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</si>
  <si>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</si>
  <si>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</si>
  <si>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</si>
  <si>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</si>
  <si>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</si>
  <si>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</si>
  <si>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</si>
  <si>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</si>
  <si>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</si>
  <si>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</si>
  <si>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</si>
  <si>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</si>
  <si>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</si>
  <si>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</si>
  <si>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</si>
  <si>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</si>
  <si>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</si>
  <si>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</si>
  <si>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</si>
  <si>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</si>
  <si>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</si>
  <si>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</si>
  <si>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</si>
  <si>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</si>
  <si>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</si>
  <si>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</si>
  <si>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</si>
  <si>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</si>
  <si>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</si>
  <si>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</si>
  <si>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</si>
  <si>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</si>
  <si>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</si>
  <si>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</si>
  <si>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</si>
  <si>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</si>
  <si>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</si>
  <si>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</si>
  <si>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</si>
  <si>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</si>
  <si>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</si>
  <si>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</si>
  <si>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</si>
  <si>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</si>
  <si>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</si>
  <si>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</si>
  <si>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</si>
  <si>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</si>
  <si>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</si>
  <si>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</si>
  <si>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</si>
  <si>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</si>
  <si>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</si>
  <si>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</si>
  <si>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</si>
  <si>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</si>
  <si>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</si>
  <si>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</si>
  <si>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</si>
  <si>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</si>
  <si>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</si>
  <si>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</si>
  <si>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</si>
  <si>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</si>
  <si>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</si>
  <si>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</si>
  <si>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</si>
  <si>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</si>
  <si>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</si>
  <si>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</si>
  <si>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</si>
  <si>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</si>
  <si>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</si>
  <si>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</si>
  <si>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</si>
  <si>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</si>
  <si>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</si>
  <si>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</si>
  <si>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</si>
  <si>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</si>
  <si>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</si>
  <si>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</si>
  <si>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</si>
  <si>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</si>
  <si>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</si>
  <si>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</si>
  <si>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</si>
  <si>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</si>
  <si>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</si>
  <si>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</si>
  <si>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</si>
  <si>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</si>
  <si>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</si>
  <si>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</si>
  <si>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</si>
  <si>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</si>
  <si>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</si>
  <si>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</si>
  <si>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</si>
  <si>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</si>
  <si>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</si>
  <si>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</si>
  <si>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</si>
  <si>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</si>
  <si>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</si>
  <si>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</si>
  <si>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</si>
  <si>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</si>
  <si>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</si>
  <si>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</si>
  <si>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</si>
  <si>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</si>
  <si>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</si>
  <si>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</si>
  <si>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</si>
  <si>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</si>
  <si>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</si>
  <si>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</si>
  <si>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</si>
  <si>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</si>
  <si>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</si>
  <si>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</si>
  <si>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</si>
  <si>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</si>
  <si>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</si>
  <si>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</si>
  <si>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</si>
  <si>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</si>
  <si>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</si>
  <si>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</si>
  <si>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</si>
  <si>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</si>
  <si>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</si>
  <si>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</si>
  <si>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</si>
  <si>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</si>
  <si>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</si>
  <si>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</si>
  <si>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</si>
  <si>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</si>
  <si>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</si>
  <si>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</si>
  <si>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</si>
  <si>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</si>
  <si>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</si>
  <si>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</si>
  <si>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</si>
  <si>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</si>
  <si>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</si>
  <si>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</si>
  <si>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</si>
  <si>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</si>
  <si>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</si>
  <si>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</si>
  <si>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</si>
  <si>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</si>
  <si>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</si>
  <si>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</si>
  <si>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</si>
  <si>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</si>
  <si>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</si>
  <si>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</si>
  <si>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</si>
  <si>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</si>
  <si>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</si>
  <si>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</si>
  <si>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</si>
  <si>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</si>
  <si>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</si>
  <si>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</si>
  <si>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</si>
  <si>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</si>
  <si>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</si>
  <si>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</si>
  <si>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</si>
  <si>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</si>
  <si>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</si>
  <si>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</si>
  <si>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</si>
  <si>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</si>
  <si>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</si>
  <si>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</si>
  <si>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</si>
  <si>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</si>
  <si>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</si>
  <si>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</si>
  <si>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</si>
  <si>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</si>
  <si>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</si>
  <si>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</si>
  <si>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</si>
  <si>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</si>
  <si>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</si>
  <si>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</si>
  <si>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</si>
  <si>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</si>
  <si>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</si>
  <si>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</si>
  <si>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</si>
  <si>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</si>
  <si>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</si>
  <si>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</si>
  <si>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</si>
  <si>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</si>
  <si>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</si>
  <si>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</si>
  <si>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</si>
  <si>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</si>
  <si>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</si>
  <si>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</si>
  <si>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</si>
  <si>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</si>
  <si>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</si>
  <si>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</si>
  <si>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</si>
  <si>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</si>
  <si>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</si>
  <si>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</si>
  <si>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</si>
  <si>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</si>
  <si>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</si>
  <si>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</si>
  <si>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</si>
  <si>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</si>
  <si>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</si>
  <si>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</si>
  <si>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</si>
  <si>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</si>
  <si>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</si>
  <si>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</si>
  <si>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</si>
  <si>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</si>
  <si>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</si>
  <si>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</si>
  <si>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</si>
  <si>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</si>
  <si>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</si>
  <si>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</si>
  <si>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</si>
  <si>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</si>
  <si>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</si>
  <si>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</si>
  <si>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</si>
  <si>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</si>
  <si>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</si>
  <si>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</si>
  <si>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</si>
  <si>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</si>
  <si>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</si>
  <si>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</si>
  <si>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</si>
  <si>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</si>
  <si>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</si>
  <si>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</si>
  <si>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</si>
  <si>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</si>
  <si>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</si>
  <si>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</si>
  <si>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</si>
  <si>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</si>
  <si>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</si>
  <si>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</si>
  <si>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</si>
  <si>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</si>
  <si>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</si>
  <si>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</si>
  <si>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</si>
  <si>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</si>
  <si>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</si>
  <si>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</si>
  <si>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</si>
  <si>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</si>
  <si>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</si>
  <si>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</si>
  <si>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</si>
  <si>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</si>
  <si>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</si>
  <si>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</si>
  <si>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</si>
  <si>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</si>
  <si>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</si>
  <si>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</si>
  <si>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</si>
  <si>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</si>
  <si>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</si>
  <si>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</si>
  <si>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</si>
  <si>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</si>
  <si>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</si>
  <si>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</si>
  <si>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</si>
  <si>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</si>
  <si>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</si>
  <si>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</si>
  <si>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</si>
  <si>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</si>
  <si>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</si>
  <si>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</si>
  <si>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</si>
  <si>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</si>
  <si>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</si>
  <si>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</si>
  <si>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</si>
  <si>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</si>
  <si>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</si>
  <si>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</si>
  <si>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</si>
  <si>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</si>
  <si>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</si>
  <si>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</si>
  <si>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</si>
  <si>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</si>
  <si>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</si>
  <si>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</si>
  <si>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</si>
  <si>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</si>
  <si>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</si>
  <si>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</si>
  <si>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</si>
  <si>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</si>
  <si>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</si>
  <si>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</si>
  <si>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</si>
  <si>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</si>
  <si>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</si>
  <si>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</si>
  <si>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</si>
  <si>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</si>
  <si>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</si>
  <si>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</si>
  <si>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</si>
  <si>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</si>
  <si>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</si>
  <si>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</si>
  <si>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</si>
  <si>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</si>
  <si>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</si>
  <si>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</si>
  <si>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</si>
  <si>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</si>
  <si>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</si>
  <si>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</si>
  <si>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</si>
  <si>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</si>
  <si>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</si>
  <si>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</si>
  <si>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</si>
  <si>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</si>
  <si>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</si>
  <si>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</si>
  <si>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</si>
  <si>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</si>
  <si>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</si>
  <si>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</si>
  <si>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</si>
  <si>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</si>
  <si>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</si>
  <si>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</si>
  <si>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</si>
  <si>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</si>
  <si>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</si>
  <si>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</si>
  <si>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</si>
  <si>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</si>
  <si>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</si>
  <si>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</si>
  <si>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</si>
  <si>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</si>
  <si>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</si>
  <si>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</si>
  <si>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</si>
  <si>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</si>
  <si>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</si>
  <si>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</si>
  <si>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</si>
  <si>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</si>
  <si>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</si>
  <si>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</si>
  <si>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</si>
  <si>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</si>
  <si>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</si>
  <si>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</si>
  <si>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</si>
  <si>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</si>
  <si>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</si>
  <si>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</si>
  <si>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</si>
  <si>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</si>
  <si>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</si>
  <si>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</si>
  <si>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</si>
  <si>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</si>
  <si>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</si>
  <si>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</si>
  <si>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</si>
  <si>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</si>
  <si>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</si>
  <si>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</si>
  <si>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</si>
  <si>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</si>
  <si>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</si>
  <si>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</si>
  <si>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</si>
  <si>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</si>
  <si>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</si>
  <si>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</si>
  <si>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</si>
  <si>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</si>
  <si>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</si>
  <si>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</si>
  <si>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</si>
  <si>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</si>
  <si>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</si>
  <si>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</si>
  <si>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</si>
  <si>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</si>
  <si>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</si>
  <si>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</si>
  <si>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</si>
  <si>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</si>
  <si>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</si>
  <si>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</si>
  <si>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</si>
  <si>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</si>
  <si>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</si>
  <si>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</si>
  <si>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</si>
  <si>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</si>
  <si>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</si>
  <si>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</si>
  <si>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</si>
  <si>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</si>
  <si>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</si>
  <si>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</si>
  <si>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</si>
  <si>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</si>
  <si>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</si>
  <si>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</si>
  <si>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</si>
  <si>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</si>
  <si>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</si>
  <si>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</si>
  <si>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</si>
  <si>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</si>
  <si>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</si>
  <si>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</si>
  <si>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</si>
  <si>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</si>
  <si>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</si>
  <si>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</si>
  <si>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</si>
  <si>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</si>
  <si>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</si>
  <si>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</si>
  <si>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</si>
  <si>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</si>
  <si>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</si>
  <si>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</si>
  <si>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</si>
  <si>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</si>
  <si>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</si>
  <si>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</si>
  <si>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</si>
  <si>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</si>
  <si>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</si>
  <si>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</si>
  <si>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</si>
  <si>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</si>
  <si>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</si>
  <si>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</si>
  <si>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</si>
  <si>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</si>
  <si>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</si>
  <si>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</si>
  <si>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</si>
  <si>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</si>
  <si>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</si>
  <si>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</si>
  <si>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</si>
  <si>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</si>
  <si>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</si>
  <si>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</si>
  <si>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</si>
  <si>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</si>
  <si>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</si>
  <si>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</si>
  <si>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</si>
  <si>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</si>
  <si>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</si>
  <si>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</si>
  <si>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</si>
  <si>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</si>
  <si>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</si>
  <si>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</si>
  <si>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</si>
  <si>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</si>
  <si>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</si>
  <si>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</si>
  <si>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</si>
  <si>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</si>
  <si>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</si>
  <si>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</si>
  <si>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</si>
  <si>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</si>
  <si>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</si>
  <si>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</si>
  <si>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</si>
  <si>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</si>
  <si>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</si>
  <si>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</si>
  <si>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</si>
  <si>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</si>
  <si>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</si>
  <si>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</si>
  <si>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</si>
  <si>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</si>
  <si>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</si>
  <si>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</si>
  <si>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</si>
  <si>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</si>
  <si>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</si>
  <si>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</si>
  <si>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</si>
  <si>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</si>
  <si>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</si>
  <si>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</si>
  <si>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</si>
  <si>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</si>
  <si>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</si>
  <si>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</si>
  <si>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</si>
  <si>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</si>
  <si>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</si>
  <si>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</si>
  <si>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</si>
  <si>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</si>
  <si>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</si>
  <si>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</si>
  <si>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</si>
  <si>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</si>
  <si>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</si>
  <si>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</si>
  <si>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</si>
  <si>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</si>
  <si>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</si>
  <si>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</si>
  <si>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</si>
  <si>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</si>
  <si>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</si>
  <si>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</si>
  <si>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</si>
  <si>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</si>
  <si>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</si>
  <si>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</si>
  <si>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</si>
  <si>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</si>
  <si>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</si>
  <si>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</si>
  <si>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</si>
  <si>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</si>
  <si>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</si>
  <si>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</si>
  <si>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</si>
  <si>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</si>
  <si>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</si>
  <si>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</si>
  <si>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</si>
  <si>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</si>
  <si>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</si>
  <si>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</si>
  <si>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</si>
  <si>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</si>
  <si>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</si>
  <si>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</si>
  <si>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</si>
  <si>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</si>
  <si>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</si>
  <si>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</si>
  <si>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</si>
  <si>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</si>
  <si>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</si>
  <si>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</si>
  <si>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</si>
  <si>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</si>
  <si>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</si>
  <si>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</si>
  <si>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</si>
  <si>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</si>
  <si>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</si>
  <si>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</si>
  <si>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</si>
  <si>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</si>
  <si>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</si>
  <si>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</si>
  <si>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</si>
  <si>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</si>
  <si>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</si>
  <si>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</si>
  <si>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</si>
  <si>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</si>
  <si>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</si>
  <si>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</si>
  <si>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</si>
  <si>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</si>
  <si>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</si>
  <si>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</si>
  <si>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</si>
  <si>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</si>
  <si>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</si>
  <si>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</si>
  <si>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</si>
  <si>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</si>
  <si>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</si>
  <si>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</si>
  <si>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</si>
  <si>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</si>
  <si>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</si>
  <si>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</si>
  <si>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</si>
  <si>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</si>
  <si>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</si>
  <si>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</si>
  <si>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</si>
  <si>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</si>
  <si>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</si>
  <si>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</si>
  <si>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</si>
  <si>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</si>
  <si>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</si>
  <si>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</si>
  <si>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</si>
  <si>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</si>
  <si>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</si>
  <si>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</si>
  <si>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</si>
  <si>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</si>
  <si>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</si>
  <si>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</si>
  <si>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</si>
  <si>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</si>
  <si>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</si>
  <si>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</si>
  <si>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</si>
  <si>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</si>
  <si>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</si>
  <si>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</si>
  <si>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</si>
  <si>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</si>
  <si>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</si>
  <si>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</si>
  <si>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</si>
  <si>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</si>
  <si>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</si>
  <si>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</si>
  <si>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</si>
  <si>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</si>
  <si>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</si>
  <si>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</si>
  <si>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</si>
  <si>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</si>
  <si>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</si>
  <si>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</si>
  <si>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</si>
  <si>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</si>
  <si>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</si>
  <si>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</si>
  <si>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</si>
  <si>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</si>
  <si>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</si>
  <si>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</si>
  <si>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</si>
  <si>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</si>
  <si>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</si>
  <si>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</si>
  <si>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</si>
  <si>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</si>
  <si>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</si>
  <si>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</si>
  <si>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</si>
  <si>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</si>
  <si>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</si>
  <si>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</si>
  <si>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</si>
  <si>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</si>
  <si>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</si>
  <si>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</si>
  <si>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</si>
  <si>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</si>
  <si>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</si>
  <si>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</si>
  <si>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</si>
  <si>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</si>
  <si>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</si>
  <si>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</si>
  <si>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</si>
  <si>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</si>
  <si>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</si>
  <si>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</si>
  <si>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</si>
  <si>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</si>
  <si>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</si>
  <si>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</si>
  <si>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</si>
  <si>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</si>
  <si>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</si>
  <si>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</si>
  <si>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</si>
  <si>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</si>
  <si>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</si>
  <si>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</si>
  <si>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</si>
  <si>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</si>
  <si>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</si>
  <si>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</si>
  <si>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</si>
  <si>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</si>
  <si>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</si>
  <si>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</si>
  <si>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</si>
  <si>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</si>
  <si>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</si>
  <si>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</si>
  <si>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</si>
  <si>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</si>
  <si>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</si>
  <si>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</si>
  <si>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</si>
  <si>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</si>
  <si>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</si>
  <si>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</si>
  <si>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</si>
  <si>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</si>
  <si>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</si>
  <si>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</si>
  <si>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</si>
  <si>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</si>
  <si>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</si>
  <si>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</si>
  <si>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</si>
  <si>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</si>
  <si>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</si>
  <si>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</si>
  <si>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</si>
  <si>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</si>
  <si>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</si>
  <si>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</si>
  <si>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</si>
  <si>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</si>
  <si>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</si>
  <si>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</si>
  <si>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</si>
  <si>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</si>
  <si>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</si>
  <si>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</si>
  <si>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</si>
  <si>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</si>
  <si>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</si>
  <si>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</si>
  <si>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</si>
  <si>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</si>
  <si>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</si>
  <si>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</si>
  <si>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</si>
  <si>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</si>
  <si>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</si>
  <si>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</si>
  <si>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</si>
  <si>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</si>
  <si>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</si>
  <si>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</si>
  <si>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</si>
  <si>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</si>
  <si>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</si>
  <si>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</si>
  <si>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</si>
  <si>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</si>
  <si>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</si>
  <si>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</si>
  <si>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</si>
  <si>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</si>
  <si>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</si>
  <si>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</si>
  <si>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</si>
  <si>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</si>
  <si>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</si>
  <si>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</si>
  <si>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</si>
  <si>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</si>
  <si>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</si>
  <si>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</si>
  <si>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</si>
  <si>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</si>
  <si>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</si>
  <si>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</si>
  <si>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</si>
  <si>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</si>
  <si>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</si>
  <si>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</si>
  <si>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</si>
  <si>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</si>
  <si>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</si>
  <si>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</si>
  <si>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</si>
  <si>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</si>
  <si>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</si>
  <si>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</si>
  <si>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</si>
  <si>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</si>
  <si>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</si>
  <si>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</si>
  <si>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</si>
  <si>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</si>
  <si>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</si>
  <si>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</si>
  <si>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</si>
  <si>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</si>
  <si>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</si>
  <si>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</si>
  <si>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</si>
  <si>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</si>
  <si>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</si>
  <si>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</si>
  <si>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</si>
  <si>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</si>
  <si>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</si>
  <si>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</si>
  <si>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</si>
  <si>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</si>
  <si>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</si>
  <si>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</si>
  <si>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</si>
  <si>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</si>
  <si>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</si>
  <si>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</si>
  <si>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</si>
  <si>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</si>
  <si>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</si>
  <si>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</si>
  <si>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</si>
  <si>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</si>
  <si>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</si>
  <si>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</si>
  <si>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</si>
  <si>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</si>
  <si>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</si>
  <si>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</si>
  <si>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</si>
  <si>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</si>
  <si>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</si>
  <si>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</si>
  <si>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</si>
  <si>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</si>
  <si>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</si>
  <si>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</si>
  <si>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</si>
  <si>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</si>
  <si>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</si>
  <si>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</si>
  <si>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</si>
  <si>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</si>
  <si>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</si>
  <si>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</si>
  <si>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</si>
  <si>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</si>
  <si>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</si>
  <si>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</si>
  <si>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</si>
  <si>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</si>
  <si>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</si>
  <si>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</si>
  <si>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</si>
  <si>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</si>
  <si>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</si>
  <si>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</si>
  <si>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</si>
  <si>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</si>
  <si>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</si>
  <si>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</si>
  <si>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</si>
  <si>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</si>
  <si>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</si>
  <si>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</si>
  <si>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</si>
  <si>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</si>
  <si>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</si>
  <si>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</si>
  <si>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</si>
  <si>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</si>
  <si>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</si>
  <si>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</si>
  <si>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</si>
  <si>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</si>
  <si>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</si>
  <si>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</si>
  <si>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</si>
  <si>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</si>
  <si>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</si>
  <si>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</si>
  <si>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</si>
  <si>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</si>
  <si>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</si>
  <si>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</si>
  <si>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</si>
  <si>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</si>
  <si>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</si>
  <si>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</si>
  <si>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</si>
  <si>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</si>
  <si>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</si>
  <si>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</si>
  <si>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</si>
  <si>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</si>
  <si>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</si>
  <si>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</si>
  <si>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</si>
  <si>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</si>
  <si>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</si>
  <si>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</si>
  <si>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</si>
  <si>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</si>
  <si>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</si>
  <si>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</si>
  <si>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</si>
  <si>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</si>
  <si>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</si>
  <si>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</si>
  <si>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</si>
  <si>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</si>
  <si>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</si>
  <si>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</si>
  <si>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</si>
  <si>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</si>
  <si>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</si>
  <si>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</si>
  <si>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</si>
  <si>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</si>
  <si>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</si>
  <si>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</si>
  <si>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</si>
  <si>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</si>
  <si>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</si>
  <si>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</si>
  <si>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</si>
  <si>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</si>
  <si>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</si>
  <si>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</si>
  <si>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</si>
  <si>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</si>
  <si>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</si>
  <si>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</si>
  <si>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</si>
  <si>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</si>
  <si>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</si>
  <si>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</si>
  <si>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</si>
  <si>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</si>
  <si>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</si>
  <si>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</si>
  <si>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</si>
  <si>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</si>
  <si>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</si>
  <si>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</si>
  <si>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</si>
  <si>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</si>
  <si>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</si>
  <si>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</si>
  <si>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</si>
  <si>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</si>
  <si>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</si>
  <si>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</si>
  <si>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</si>
  <si>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</si>
  <si>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</si>
  <si>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</si>
  <si>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</si>
  <si>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</si>
  <si>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</si>
  <si>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</si>
  <si>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</si>
  <si>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</si>
  <si>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</si>
  <si>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</si>
  <si>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</si>
  <si>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</si>
  <si>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</si>
  <si>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</si>
  <si>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</si>
  <si>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</si>
  <si>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</si>
  <si>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</si>
  <si>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</si>
  <si>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</si>
  <si>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</si>
  <si>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</si>
  <si>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</si>
  <si>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</si>
  <si>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</si>
  <si>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</si>
  <si>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</si>
  <si>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</si>
  <si>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</si>
  <si>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</si>
  <si>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</si>
  <si>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</si>
  <si>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</si>
  <si>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</si>
  <si>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</si>
  <si>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</si>
  <si>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</si>
  <si>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</si>
  <si>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</si>
  <si>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</si>
  <si>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</si>
  <si>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</si>
  <si>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</si>
  <si>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</si>
  <si>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</si>
  <si>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</si>
  <si>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</si>
  <si>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</si>
  <si>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</si>
  <si>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</si>
  <si>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</si>
  <si>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</si>
  <si>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</si>
  <si>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</si>
  <si>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</si>
  <si>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</si>
  <si>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</si>
  <si>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</si>
  <si>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</si>
  <si>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</si>
  <si>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</si>
  <si>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</si>
  <si>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</si>
  <si>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</si>
  <si>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</si>
  <si>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</si>
  <si>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</si>
  <si>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</si>
  <si>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</si>
  <si>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</si>
  <si>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</si>
  <si>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</si>
  <si>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</si>
  <si>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</si>
  <si>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</si>
  <si>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</si>
  <si>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</si>
  <si>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</si>
  <si>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</si>
  <si>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</si>
  <si>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</si>
  <si>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</si>
  <si>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</si>
  <si>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</si>
  <si>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</si>
  <si>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</si>
  <si>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</si>
  <si>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</si>
  <si>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</si>
  <si>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</si>
  <si>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</si>
  <si>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</si>
  <si>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</si>
  <si>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</si>
  <si>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</si>
  <si>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</si>
  <si>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</si>
  <si>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</si>
  <si>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</si>
  <si>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</si>
  <si>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</si>
  <si>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</si>
  <si>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</si>
  <si>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</si>
  <si>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</si>
  <si>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</si>
  <si>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</si>
  <si>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</si>
  <si>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</si>
  <si>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</si>
  <si>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</si>
  <si>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</si>
  <si>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</si>
  <si>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</si>
  <si>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</si>
  <si>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</si>
  <si>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</si>
  <si>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</si>
  <si>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</si>
  <si>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</si>
  <si>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</si>
  <si>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</si>
  <si>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</si>
  <si>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</si>
  <si>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</si>
  <si>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</si>
  <si>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</si>
  <si>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</si>
  <si>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</si>
  <si>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</si>
  <si>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</si>
  <si>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</si>
  <si>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</si>
  <si>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</si>
  <si>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</si>
  <si>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</si>
  <si>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</si>
  <si>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</si>
  <si>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</si>
  <si>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</si>
  <si>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</si>
  <si>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</si>
  <si>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</si>
  <si>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</si>
  <si>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</si>
  <si>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</si>
  <si>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</si>
  <si>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</si>
  <si>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</si>
  <si>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</si>
  <si>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</si>
  <si>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</si>
  <si>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</si>
  <si>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</si>
  <si>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</si>
  <si>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</si>
  <si>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</si>
  <si>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</si>
  <si>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</si>
  <si>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</si>
  <si>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</si>
  <si>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</si>
  <si>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</si>
  <si>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</si>
  <si>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</si>
  <si>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</si>
  <si>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</si>
  <si>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</si>
  <si>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</si>
  <si>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</si>
  <si>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</si>
  <si>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</si>
  <si>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</si>
  <si>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</si>
  <si>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</si>
  <si>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</si>
  <si>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</si>
  <si>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</si>
  <si>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</si>
  <si>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</si>
  <si>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</si>
  <si>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</si>
  <si>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</si>
  <si>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</si>
  <si>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</si>
  <si>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</si>
  <si>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</si>
  <si>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</si>
  <si>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</si>
  <si>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</si>
  <si>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</si>
  <si>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</si>
  <si>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</si>
  <si>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</si>
  <si>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</si>
  <si>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</si>
  <si>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</si>
  <si>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</si>
  <si>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</si>
  <si>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</si>
  <si>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</si>
  <si>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</si>
  <si>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</si>
  <si>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</si>
  <si>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</si>
  <si>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</si>
  <si>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</si>
  <si>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</si>
  <si>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</si>
  <si>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</si>
  <si>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</si>
  <si>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</si>
  <si>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</si>
  <si>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</si>
  <si>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</si>
  <si>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</si>
  <si>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</si>
  <si>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</si>
  <si>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</si>
  <si>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</si>
  <si>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</si>
  <si>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</si>
  <si>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</si>
  <si>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</si>
  <si>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</si>
  <si>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</si>
  <si>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</si>
  <si>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</si>
  <si>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</si>
  <si>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</si>
  <si>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</si>
  <si>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</si>
  <si>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</si>
  <si>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</si>
  <si>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</si>
  <si>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</si>
  <si>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</si>
  <si>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</si>
  <si>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</si>
  <si>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</si>
  <si>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</si>
  <si>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</si>
  <si>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</si>
  <si>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</si>
  <si>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</si>
  <si>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</si>
  <si>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</si>
  <si>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</si>
  <si>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</si>
  <si>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</si>
  <si>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</si>
  <si>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</si>
  <si>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</si>
  <si>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</si>
  <si>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</si>
  <si>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</si>
  <si>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</si>
  <si>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</si>
  <si>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</si>
  <si>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</si>
  <si>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</si>
  <si>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</si>
  <si>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</si>
  <si>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</si>
  <si>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</si>
  <si>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</si>
  <si>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</si>
  <si>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</si>
  <si>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</si>
  <si>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</si>
  <si>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</si>
  <si>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</si>
  <si>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</si>
  <si>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</si>
  <si>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</si>
  <si>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</si>
  <si>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</si>
  <si>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</si>
  <si>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</si>
  <si>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</si>
  <si>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</si>
  <si>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</si>
  <si>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</si>
  <si>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</si>
  <si>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</si>
  <si>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</si>
  <si>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</si>
  <si>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</si>
  <si>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</si>
  <si>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</si>
  <si>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</si>
  <si>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</si>
  <si>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</si>
  <si>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</si>
  <si>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</si>
  <si>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</si>
  <si>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</si>
  <si>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</si>
  <si>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</si>
  <si>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</si>
  <si>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</si>
  <si>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</si>
  <si>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</si>
  <si>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</si>
  <si>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</si>
  <si>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</si>
  <si>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</si>
  <si>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</si>
  <si>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</si>
  <si>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</si>
  <si>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</si>
  <si>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</si>
  <si>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</si>
  <si>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</si>
  <si>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</si>
  <si>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</si>
  <si>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</si>
  <si>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</si>
  <si>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</si>
  <si>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</si>
  <si>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</si>
  <si>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</si>
  <si>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</si>
  <si>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</si>
  <si>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</si>
  <si>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</si>
  <si>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</si>
  <si>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</si>
  <si>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</si>
  <si>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</si>
  <si>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</si>
  <si>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</si>
  <si>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</si>
  <si>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</si>
  <si>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</si>
  <si>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</si>
  <si>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</si>
  <si>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</si>
  <si>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</si>
  <si>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</si>
  <si>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</si>
  <si>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</si>
  <si>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</si>
  <si>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</si>
  <si>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</si>
  <si>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</si>
  <si>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</si>
  <si>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</si>
  <si>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</si>
  <si>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</si>
  <si>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</si>
  <si>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</si>
  <si>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</si>
  <si>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</si>
  <si>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</si>
  <si>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</si>
  <si>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</si>
  <si>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</si>
  <si>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</si>
  <si>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</si>
  <si>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</si>
  <si>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</si>
  <si>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</si>
  <si>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</si>
  <si>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</si>
  <si>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</si>
  <si>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</si>
  <si>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</si>
  <si>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</si>
  <si>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</si>
  <si>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</si>
  <si>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</si>
  <si>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</si>
  <si>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</si>
  <si>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</si>
  <si>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</si>
  <si>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</si>
  <si>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</si>
  <si>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</si>
  <si>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</si>
  <si>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</si>
  <si>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</si>
  <si>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</si>
  <si>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</si>
  <si>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</si>
  <si>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</si>
  <si>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</si>
  <si>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</si>
  <si>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</si>
  <si>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</si>
  <si>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</si>
  <si>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</si>
  <si>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</si>
  <si>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</si>
  <si>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</si>
  <si>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</si>
  <si>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</si>
  <si>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</si>
  <si>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</si>
  <si>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</si>
  <si>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</si>
  <si>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</si>
  <si>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</si>
  <si>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</si>
  <si>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</si>
  <si>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</si>
  <si>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</si>
  <si>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</si>
  <si>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</si>
  <si>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</si>
  <si>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</si>
  <si>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</si>
  <si>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</si>
  <si>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</si>
  <si>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</si>
  <si>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</si>
  <si>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</si>
  <si>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</si>
  <si>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</si>
  <si>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</si>
  <si>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</si>
  <si>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</si>
  <si>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</si>
  <si>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</si>
  <si>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</si>
  <si>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</si>
  <si>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</si>
  <si>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</si>
  <si>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</si>
  <si>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</si>
  <si>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</si>
  <si>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</si>
  <si>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</si>
  <si>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</si>
  <si>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</si>
  <si>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</si>
  <si>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</si>
  <si>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</si>
  <si>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</si>
  <si>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</si>
  <si>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</si>
  <si>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</si>
  <si>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</si>
  <si>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</si>
  <si>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</si>
  <si>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</si>
  <si>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</si>
  <si>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</si>
  <si>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</si>
  <si>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</si>
  <si>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</si>
  <si>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</si>
  <si>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</si>
  <si>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</si>
  <si>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</si>
  <si>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</si>
  <si>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</si>
  <si>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</si>
  <si>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</si>
  <si>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</si>
  <si>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</si>
  <si>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</si>
  <si>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</si>
  <si>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</si>
  <si>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</si>
  <si>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</si>
  <si>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</si>
  <si>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</si>
  <si>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</si>
  <si>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</si>
  <si>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</si>
  <si>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</si>
  <si>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</si>
  <si>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</si>
  <si>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</si>
  <si>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</si>
  <si>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</si>
  <si>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</si>
  <si>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</si>
  <si>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</si>
  <si>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</si>
  <si>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</si>
  <si>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</si>
  <si>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</si>
  <si>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</si>
  <si>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</si>
  <si>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</si>
  <si>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</si>
  <si>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</si>
  <si>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</si>
  <si>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</si>
  <si>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</si>
  <si>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</si>
  <si>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</si>
  <si>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</si>
  <si>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</si>
  <si>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</si>
  <si>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</si>
  <si>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</si>
  <si>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</si>
  <si>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</si>
  <si>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</si>
  <si>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</si>
  <si>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</si>
  <si>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</si>
  <si>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</si>
  <si>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</si>
  <si>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</si>
  <si>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</si>
  <si>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</si>
  <si>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</si>
  <si>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</si>
  <si>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</si>
  <si>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</si>
  <si>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</si>
  <si>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</si>
  <si>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</si>
  <si>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</si>
  <si>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</si>
  <si>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</si>
  <si>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</si>
  <si>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</si>
  <si>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</si>
  <si>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</si>
  <si>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</si>
  <si>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</si>
  <si>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</si>
  <si>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</si>
  <si>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</si>
  <si>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</si>
  <si>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</si>
  <si>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</si>
  <si>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</si>
  <si>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</si>
  <si>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</si>
  <si>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</si>
  <si>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</si>
  <si>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</si>
  <si>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</si>
  <si>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</si>
  <si>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</si>
  <si>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</si>
  <si>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</si>
  <si>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</si>
  <si>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</si>
  <si>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</si>
  <si>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</si>
  <si>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</si>
  <si>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</si>
  <si>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</si>
  <si>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</si>
  <si>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</si>
  <si>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</si>
  <si>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</si>
  <si>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</si>
  <si>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</si>
  <si>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</si>
  <si>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</si>
  <si>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</si>
  <si>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</si>
  <si>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</si>
  <si>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</si>
  <si>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</si>
  <si>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</si>
  <si>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</si>
  <si>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</si>
  <si>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</si>
  <si>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</si>
  <si>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</si>
  <si>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</si>
  <si>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</si>
  <si>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</si>
  <si>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</si>
  <si>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</si>
  <si>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</si>
  <si>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</si>
  <si>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</si>
  <si>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</si>
  <si>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</si>
  <si>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</si>
  <si>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</si>
  <si>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</si>
  <si>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</si>
  <si>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</si>
  <si>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</si>
  <si>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</si>
  <si>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</si>
  <si>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</si>
  <si>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</si>
  <si>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</si>
  <si>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</si>
  <si>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</si>
  <si>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</si>
  <si>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</si>
  <si>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</si>
  <si>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</si>
  <si>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</si>
  <si>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</si>
  <si>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</si>
  <si>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</si>
  <si>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</si>
  <si>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</si>
  <si>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</si>
  <si>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</si>
  <si>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</si>
  <si>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</si>
  <si>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</si>
  <si>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</si>
  <si>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</si>
  <si>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</si>
  <si>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</si>
  <si>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</si>
  <si>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</si>
  <si>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</si>
  <si>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</si>
  <si>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</si>
  <si>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</si>
  <si>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</si>
  <si>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</si>
  <si>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</si>
  <si>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</si>
  <si>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</si>
  <si>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</si>
  <si>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</si>
  <si>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</si>
  <si>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</si>
  <si>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</si>
  <si>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</si>
  <si>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</si>
  <si>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</si>
  <si>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</si>
  <si>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</si>
  <si>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</si>
  <si>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</si>
  <si>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</si>
  <si>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</si>
  <si>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</si>
  <si>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</si>
  <si>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</si>
  <si>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</si>
  <si>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</si>
  <si>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</si>
  <si>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</si>
  <si>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</si>
  <si>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</si>
  <si>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</si>
  <si>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</si>
  <si>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</si>
  <si>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</si>
  <si>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</si>
  <si>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</si>
  <si>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</si>
  <si>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</si>
  <si>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</si>
  <si>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</si>
  <si>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</si>
  <si>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</si>
  <si>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</si>
  <si>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</si>
  <si>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</si>
  <si>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</si>
  <si>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</si>
  <si>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</si>
  <si>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</si>
  <si>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</si>
  <si>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</si>
  <si>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</si>
  <si>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</si>
  <si>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</si>
  <si>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</si>
  <si>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</si>
  <si>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</si>
  <si>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</si>
  <si>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</si>
  <si>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</si>
  <si>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</si>
  <si>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</si>
  <si>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</si>
  <si>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</si>
  <si>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</si>
  <si>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</si>
  <si>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</si>
  <si>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</si>
  <si>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</si>
  <si>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</si>
  <si>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</si>
  <si>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</si>
  <si>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</si>
  <si>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</si>
  <si>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</si>
  <si>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</si>
  <si>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</si>
  <si>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</si>
  <si>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</si>
  <si>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</si>
  <si>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</si>
  <si>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</si>
  <si>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</si>
  <si>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</si>
  <si>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</si>
  <si>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</si>
  <si>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</si>
  <si>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</si>
  <si>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</si>
  <si>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</si>
  <si>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</si>
  <si>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</si>
  <si>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</si>
  <si>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</si>
  <si>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</si>
  <si>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</si>
  <si>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</si>
  <si>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</si>
  <si>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</si>
  <si>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</si>
  <si>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</si>
  <si>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</si>
  <si>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</si>
  <si>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</si>
  <si>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</si>
  <si>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</si>
  <si>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</si>
  <si>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</si>
  <si>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</si>
  <si>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</si>
  <si>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</si>
  <si>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</si>
  <si>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</si>
  <si>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</si>
  <si>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</si>
  <si>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</si>
  <si>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</si>
  <si>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</si>
  <si>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</si>
  <si>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</si>
  <si>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</si>
  <si>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</si>
  <si>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</si>
  <si>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</si>
  <si>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</si>
  <si>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</si>
  <si>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</si>
  <si>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</si>
  <si>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</si>
  <si>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</si>
  <si>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</si>
  <si>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</si>
  <si>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</si>
  <si>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</si>
  <si>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</si>
  <si>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</si>
  <si>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</si>
  <si>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</si>
  <si>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</si>
  <si>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</si>
  <si>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</si>
  <si>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</si>
  <si>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</si>
  <si>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</si>
  <si>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</si>
  <si>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</si>
  <si>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</si>
  <si>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</si>
  <si>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</si>
  <si>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</si>
  <si>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</si>
  <si>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</si>
  <si>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</si>
  <si>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</si>
  <si>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</si>
  <si>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</si>
  <si>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</si>
  <si>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</si>
  <si>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</si>
  <si>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</si>
  <si>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</si>
  <si>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</si>
  <si>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</si>
  <si>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</si>
  <si>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</si>
  <si>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</si>
  <si>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</si>
  <si>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</si>
  <si>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</si>
  <si>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</si>
  <si>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</si>
  <si>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</si>
  <si>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</si>
  <si>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</si>
  <si>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</si>
  <si>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</si>
  <si>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</si>
  <si>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</si>
  <si>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</si>
  <si>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</si>
  <si>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</si>
  <si>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</si>
  <si>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</si>
  <si>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</si>
  <si>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</si>
  <si>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</si>
  <si>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</si>
  <si>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</si>
  <si>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</si>
  <si>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</si>
  <si>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</si>
  <si>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</si>
  <si>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</si>
  <si>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</si>
  <si>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</si>
  <si>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</si>
  <si>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</si>
  <si>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</si>
  <si>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</si>
  <si>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</si>
  <si>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</si>
  <si>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</si>
  <si>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</si>
  <si>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</si>
  <si>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</si>
  <si>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</si>
  <si>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</si>
  <si>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</si>
  <si>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</si>
  <si>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</si>
  <si>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</si>
  <si>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</si>
  <si>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</si>
  <si>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</si>
  <si>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</si>
  <si>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</si>
  <si>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</si>
  <si>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</si>
  <si>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</si>
  <si>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</si>
  <si>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</si>
  <si>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</si>
  <si>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</si>
  <si>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</si>
  <si>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</si>
  <si>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</si>
  <si>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</si>
  <si>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</si>
  <si>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</si>
  <si>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</si>
  <si>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</si>
  <si>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</si>
  <si>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</si>
  <si>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</si>
  <si>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</si>
  <si>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</si>
  <si>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</si>
  <si>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</si>
  <si>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</si>
  <si>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</si>
  <si>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</si>
  <si>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</si>
  <si>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</si>
  <si>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</si>
  <si>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</si>
  <si>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</si>
  <si>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</si>
  <si>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</si>
  <si>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</si>
  <si>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</si>
  <si>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</si>
  <si>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</si>
  <si>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</si>
  <si>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</si>
  <si>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</si>
  <si>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</si>
  <si>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</si>
  <si>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</si>
  <si>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</si>
  <si>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</si>
  <si>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</si>
  <si>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</si>
  <si>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</si>
  <si>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</si>
  <si>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</si>
  <si>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</si>
  <si>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</si>
  <si>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</si>
  <si>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</si>
  <si>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</si>
  <si>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</si>
  <si>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</si>
  <si>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</si>
  <si>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</si>
  <si>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</si>
  <si>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</si>
  <si>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</si>
  <si>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</si>
  <si>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</si>
  <si>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</si>
  <si>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</si>
  <si>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</si>
  <si>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</si>
  <si>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</si>
  <si>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</si>
  <si>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</si>
  <si>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</si>
  <si>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</si>
  <si>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</si>
  <si>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</si>
  <si>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</si>
  <si>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</si>
  <si>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</si>
  <si>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</si>
  <si>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</si>
  <si>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</si>
  <si>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</si>
  <si>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</si>
  <si>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</si>
  <si>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</si>
  <si>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</si>
  <si>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</si>
  <si>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</si>
  <si>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</si>
  <si>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</si>
  <si>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</si>
  <si>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</si>
  <si>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</si>
  <si>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</si>
  <si>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</si>
  <si>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</si>
  <si>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</si>
  <si>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</si>
  <si>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</si>
  <si>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</si>
  <si>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</si>
  <si>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</si>
  <si>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</si>
  <si>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</si>
  <si>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</si>
  <si>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</si>
  <si>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</si>
  <si>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</si>
  <si>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</si>
  <si>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</si>
  <si>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</si>
  <si>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</si>
  <si>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</si>
  <si>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</si>
  <si>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</si>
  <si>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</si>
  <si>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</si>
  <si>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</si>
  <si>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</si>
  <si>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</si>
  <si>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</si>
  <si>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</si>
  <si>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</si>
  <si>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</si>
  <si>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</si>
  <si>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</si>
  <si>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</si>
  <si>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</si>
  <si>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</si>
  <si>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</si>
  <si>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</si>
  <si>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</si>
  <si>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</si>
  <si>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</si>
  <si>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</si>
  <si>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</si>
  <si>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</si>
  <si>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</si>
  <si>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</si>
  <si>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</si>
  <si>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</si>
  <si>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</si>
  <si>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</si>
  <si>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</si>
  <si>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</si>
  <si>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</si>
  <si>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</si>
  <si>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</si>
  <si>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</si>
  <si>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</si>
  <si>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</si>
  <si>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</si>
  <si>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</si>
  <si>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</si>
  <si>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</si>
  <si>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</si>
  <si>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</si>
  <si>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</si>
  <si>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</si>
  <si>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</si>
  <si>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</si>
  <si>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</si>
  <si>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</si>
  <si>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</si>
  <si>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</si>
  <si>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</si>
  <si>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</si>
  <si>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</si>
  <si>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</si>
  <si>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</si>
  <si>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</si>
  <si>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</si>
  <si>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</si>
  <si>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</si>
  <si>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</si>
  <si>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</si>
  <si>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</si>
  <si>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</si>
  <si>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</si>
  <si>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</si>
  <si>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</si>
  <si>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</si>
  <si>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</si>
  <si>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</si>
  <si>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</si>
  <si>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</si>
  <si>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</si>
  <si>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</si>
  <si>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</si>
  <si>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</si>
  <si>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</si>
  <si>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</si>
  <si>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</si>
  <si>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</si>
  <si>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</si>
  <si>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</si>
  <si>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</si>
  <si>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</si>
  <si>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</si>
  <si>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</si>
  <si>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</si>
  <si>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</si>
  <si>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</si>
  <si>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</si>
  <si>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</si>
  <si>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</si>
  <si>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</si>
  <si>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</si>
  <si>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</si>
  <si>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</si>
  <si>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</si>
  <si>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</si>
  <si>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</si>
  <si>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</si>
  <si>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</si>
  <si>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</si>
  <si>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</si>
  <si>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</si>
  <si>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</si>
  <si>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</si>
  <si>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</si>
  <si>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</si>
  <si>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</si>
  <si>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</si>
  <si>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</si>
  <si>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</si>
  <si>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</si>
  <si>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</si>
  <si>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</si>
  <si>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</si>
  <si>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</si>
  <si>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</si>
  <si>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</si>
  <si>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</si>
  <si>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</si>
  <si>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</si>
  <si>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</si>
  <si>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</si>
  <si>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</si>
  <si>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</si>
  <si>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</si>
  <si>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</si>
  <si>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</si>
  <si>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</si>
  <si>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</si>
  <si>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</si>
  <si>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</si>
  <si>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</si>
  <si>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</si>
  <si>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</si>
  <si>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</si>
  <si>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</si>
  <si>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</si>
  <si>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</si>
  <si>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</si>
  <si>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</si>
  <si>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</si>
  <si>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</si>
  <si>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</si>
  <si>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</si>
  <si>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</si>
  <si>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</si>
  <si>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</si>
  <si>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</si>
  <si>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</si>
  <si>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</si>
  <si>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</si>
  <si>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</si>
  <si>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</si>
  <si>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</si>
  <si>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</si>
  <si>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</si>
  <si>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</si>
  <si>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</si>
  <si>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</si>
  <si>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</si>
  <si>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</si>
  <si>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</si>
  <si>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</si>
  <si>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</si>
  <si>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</si>
  <si>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</si>
  <si>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</si>
  <si>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</si>
  <si>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</si>
  <si>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</si>
  <si>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</si>
  <si>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</si>
  <si>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</si>
  <si>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</si>
  <si>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</si>
  <si>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</si>
  <si>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</si>
  <si>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</si>
  <si>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</si>
  <si>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</si>
  <si>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</si>
  <si>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</si>
  <si>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</si>
  <si>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</si>
  <si>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</si>
  <si>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</si>
  <si>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</si>
  <si>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</si>
  <si>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</si>
  <si>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</si>
  <si>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</si>
  <si>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</si>
  <si>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</si>
  <si>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</si>
  <si>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</si>
  <si>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</si>
  <si>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</si>
  <si>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</si>
  <si>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</si>
  <si>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</si>
  <si>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</si>
  <si>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</si>
  <si>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</si>
  <si>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</si>
  <si>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</si>
  <si>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</si>
  <si>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</si>
  <si>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</si>
  <si>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</si>
  <si>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</si>
  <si>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</si>
  <si>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</si>
  <si>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</si>
  <si>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</si>
  <si>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</si>
  <si>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</si>
  <si>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</si>
  <si>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</si>
  <si>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</si>
  <si>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</si>
  <si>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</si>
  <si>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</si>
  <si>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</si>
  <si>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</si>
  <si>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</si>
  <si>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</si>
  <si>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</si>
  <si>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</si>
  <si>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</si>
  <si>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</si>
  <si>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</si>
  <si>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</si>
  <si>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</si>
  <si>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</si>
  <si>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</si>
  <si>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</si>
  <si>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</si>
  <si>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</si>
  <si>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</si>
  <si>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</si>
  <si>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</si>
  <si>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</si>
  <si>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</si>
  <si>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</si>
  <si>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</si>
  <si>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</si>
  <si>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</si>
  <si>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</si>
  <si>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</si>
  <si>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</si>
  <si>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</si>
  <si>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</si>
  <si>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</si>
  <si>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</si>
  <si>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</si>
  <si>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</si>
  <si>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</si>
  <si>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</si>
  <si>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</si>
  <si>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</si>
  <si>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</si>
  <si>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</si>
  <si>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</si>
  <si>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</si>
  <si>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</si>
  <si>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</si>
  <si>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</si>
  <si>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</si>
  <si>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</si>
  <si>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</si>
  <si>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</si>
  <si>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</si>
  <si>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</si>
  <si>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</si>
  <si>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</si>
  <si>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</si>
  <si>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</si>
  <si>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</si>
  <si>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</si>
  <si>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</si>
  <si>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</si>
  <si>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</si>
  <si>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</si>
  <si>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</si>
  <si>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</si>
  <si>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</si>
  <si>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</si>
  <si>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</si>
  <si>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</si>
  <si>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</si>
  <si>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</si>
  <si>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</si>
  <si>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</si>
  <si>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</si>
  <si>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</si>
  <si>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</si>
  <si>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</si>
  <si>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</si>
  <si>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</si>
  <si>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</si>
  <si>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</si>
  <si>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</si>
  <si>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</si>
  <si>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</si>
  <si>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</si>
  <si>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</si>
  <si>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</si>
  <si>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</si>
  <si>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</si>
  <si>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</si>
  <si>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</si>
  <si>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</si>
  <si>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</si>
  <si>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</si>
  <si>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</si>
  <si>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</si>
  <si>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</si>
  <si>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</si>
  <si>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</si>
  <si>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</si>
  <si>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</si>
  <si>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</si>
  <si>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</si>
  <si>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</si>
  <si>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</si>
  <si>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</si>
  <si>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</si>
  <si>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</si>
  <si>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</si>
  <si>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</si>
  <si>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</si>
  <si>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</si>
  <si>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</si>
  <si>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</si>
  <si>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</si>
  <si>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</si>
  <si>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</si>
  <si>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</si>
  <si>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</si>
  <si>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</si>
  <si>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</si>
  <si>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</si>
  <si>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</si>
  <si>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</si>
  <si>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</si>
  <si>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</si>
  <si>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</si>
  <si>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</si>
  <si>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</si>
  <si>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</si>
  <si>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</si>
  <si>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</si>
  <si>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</si>
  <si>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</si>
  <si>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</si>
  <si>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</si>
  <si>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</si>
  <si>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</si>
  <si>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</si>
  <si>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</si>
  <si>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</si>
  <si>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</si>
  <si>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</si>
  <si>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</si>
  <si>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</si>
  <si>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</si>
  <si>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</si>
  <si>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</si>
  <si>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</si>
  <si>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</si>
  <si>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</si>
  <si>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</si>
  <si>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</si>
  <si>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</si>
  <si>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</si>
  <si>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</si>
  <si>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</si>
  <si>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</si>
  <si>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</si>
  <si>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</si>
  <si>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</si>
  <si>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</si>
  <si>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</si>
  <si>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</si>
  <si>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</si>
  <si>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</si>
  <si>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</si>
  <si>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</si>
  <si>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</si>
  <si>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</si>
  <si>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</si>
  <si>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</si>
  <si>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</si>
  <si>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</si>
  <si>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</si>
  <si>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</si>
  <si>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</si>
  <si>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</si>
  <si>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</si>
  <si>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</si>
  <si>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</si>
  <si>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</si>
  <si>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</si>
  <si>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</si>
  <si>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</si>
  <si>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</si>
  <si>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</si>
  <si>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</si>
  <si>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</si>
  <si>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</si>
  <si>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</si>
  <si>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</si>
  <si>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</si>
  <si>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</si>
  <si>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</si>
  <si>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</si>
  <si>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</si>
  <si>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</si>
  <si>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</si>
  <si>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</si>
  <si>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</si>
  <si>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</si>
  <si>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</si>
  <si>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</si>
  <si>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</si>
  <si>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</si>
  <si>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</si>
  <si>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</si>
  <si>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</si>
  <si>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</si>
  <si>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</si>
  <si>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</si>
  <si>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</si>
  <si>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</si>
  <si>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</si>
  <si>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</si>
  <si>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</si>
  <si>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</si>
  <si>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</si>
  <si>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</si>
  <si>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</si>
  <si>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</si>
  <si>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</si>
  <si>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</si>
  <si>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</si>
  <si>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</si>
  <si>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</si>
  <si>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</si>
  <si>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</si>
  <si>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</si>
  <si>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</si>
  <si>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</si>
  <si>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</si>
  <si>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</si>
  <si>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</si>
  <si>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</si>
  <si>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</si>
  <si>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</si>
  <si>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</si>
  <si>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</si>
  <si>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</si>
  <si>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</si>
  <si>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</si>
  <si>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</si>
  <si>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</si>
  <si>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</si>
  <si>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</si>
  <si>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</si>
  <si>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</si>
  <si>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</si>
  <si>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</si>
  <si>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</si>
  <si>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</si>
  <si>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</si>
  <si>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</si>
  <si>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</si>
  <si>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</si>
  <si>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</si>
  <si>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</si>
  <si>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</si>
  <si>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</si>
  <si>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</si>
  <si>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</si>
  <si>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</si>
  <si>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</si>
  <si>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</si>
  <si>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</si>
  <si>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</si>
  <si>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</si>
  <si>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</si>
  <si>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</si>
  <si>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</si>
  <si>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</si>
  <si>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</si>
  <si>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</si>
  <si>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</si>
  <si>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</si>
  <si>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</si>
  <si>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</si>
  <si>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</si>
  <si>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</si>
  <si>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</si>
  <si>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</si>
  <si>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</si>
  <si>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</si>
  <si>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</si>
  <si>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</si>
  <si>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</si>
  <si>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</si>
  <si>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</si>
  <si>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</si>
  <si>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</si>
  <si>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</si>
  <si>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</si>
  <si>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</si>
  <si>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</si>
  <si>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</si>
  <si>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</si>
  <si>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</si>
  <si>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</si>
  <si>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</si>
  <si>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</si>
  <si>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</si>
  <si>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</si>
  <si>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</si>
  <si>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</si>
  <si>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</si>
  <si>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</si>
  <si>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</si>
  <si>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</si>
  <si>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</si>
  <si>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</si>
  <si>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</si>
  <si>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</si>
  <si>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</si>
  <si>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</si>
  <si>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</si>
  <si>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</si>
  <si>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</si>
  <si>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</si>
  <si>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</si>
  <si>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</si>
  <si>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</si>
  <si>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</si>
  <si>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</si>
  <si>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</si>
  <si>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</si>
  <si>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</si>
  <si>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</si>
  <si>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</si>
  <si>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</si>
  <si>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</si>
  <si>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</si>
  <si>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</si>
  <si>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</si>
  <si>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</si>
  <si>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</si>
  <si>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</si>
  <si>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</si>
  <si>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</si>
  <si>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</si>
  <si>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</si>
  <si>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</si>
  <si>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</si>
  <si>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</si>
  <si>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</si>
  <si>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</si>
  <si>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</si>
  <si>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</si>
  <si>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</si>
  <si>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</si>
  <si>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</si>
  <si>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</si>
  <si>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</si>
  <si>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</si>
  <si>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</si>
  <si>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</si>
  <si>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</si>
  <si>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</si>
  <si>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</si>
  <si>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</si>
  <si>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</si>
  <si>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</si>
  <si>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</si>
  <si>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</si>
  <si>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</si>
  <si>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</si>
  <si>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</si>
  <si>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</si>
  <si>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</si>
  <si>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</si>
  <si>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</si>
  <si>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</si>
  <si>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</si>
  <si>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</si>
  <si>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</si>
  <si>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</si>
  <si>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</si>
  <si>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</si>
  <si>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</si>
  <si>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</si>
  <si>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</si>
  <si>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</si>
  <si>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</si>
  <si>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</si>
  <si>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</si>
  <si>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</si>
  <si>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</si>
  <si>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</si>
  <si>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</si>
  <si>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</si>
  <si>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</si>
  <si>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</si>
  <si>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</si>
  <si>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</si>
  <si>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</si>
  <si>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</si>
  <si>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</si>
  <si>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</si>
  <si>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</si>
  <si>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</si>
  <si>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</si>
  <si>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</si>
  <si>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</si>
  <si>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</si>
  <si>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</si>
  <si>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</si>
  <si>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</si>
  <si>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</si>
  <si>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</si>
  <si>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</si>
  <si>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</si>
  <si>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</si>
  <si>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</si>
  <si>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</si>
  <si>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</si>
  <si>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</si>
  <si>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</si>
  <si>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</si>
  <si>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</si>
  <si>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</si>
  <si>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</si>
  <si>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</si>
  <si>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</si>
  <si>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</si>
  <si>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</si>
  <si>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</si>
  <si>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</si>
  <si>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</si>
  <si>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</si>
  <si>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</si>
  <si>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</si>
  <si>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</si>
  <si>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</si>
  <si>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</si>
  <si>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</si>
  <si>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</si>
  <si>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</si>
  <si>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</si>
  <si>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</si>
  <si>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</si>
  <si>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</si>
  <si>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</si>
  <si>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</si>
  <si>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</si>
  <si>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</si>
  <si>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</si>
  <si>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</si>
  <si>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</si>
  <si>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</si>
  <si>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</si>
  <si>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</si>
  <si>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</si>
  <si>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</si>
  <si>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</si>
  <si>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</si>
  <si>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</si>
  <si>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</si>
  <si>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</si>
  <si>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</si>
  <si>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</si>
  <si>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</si>
  <si>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</si>
  <si>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</si>
  <si>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</si>
  <si>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</si>
  <si>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</si>
  <si>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</si>
  <si>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</si>
  <si>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</si>
  <si>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</si>
  <si>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</si>
  <si>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</si>
  <si>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</si>
  <si>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</si>
  <si>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</si>
  <si>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</si>
  <si>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</si>
  <si>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</si>
  <si>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</si>
  <si>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</si>
  <si>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</si>
  <si>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</si>
  <si>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</si>
  <si>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</si>
  <si>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</si>
  <si>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</si>
  <si>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</si>
  <si>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</si>
  <si>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</si>
  <si>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</si>
  <si>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</si>
  <si>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</si>
  <si>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</si>
  <si>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</si>
  <si>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</si>
  <si>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</si>
  <si>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</si>
  <si>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</si>
  <si>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</si>
  <si>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</si>
  <si>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</si>
  <si>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</si>
  <si>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</si>
  <si>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</si>
  <si>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</si>
  <si>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</si>
  <si>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</si>
  <si>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</si>
  <si>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</si>
  <si>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</si>
  <si>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</si>
  <si>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</si>
  <si>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</si>
  <si>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</si>
  <si>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</si>
  <si>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</si>
  <si>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</si>
  <si>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</si>
  <si>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</si>
  <si>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</si>
  <si>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</si>
  <si>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</si>
  <si>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</si>
  <si>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</si>
  <si>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</si>
  <si>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</si>
  <si>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</si>
  <si>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</si>
  <si>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</si>
  <si>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</si>
  <si>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</si>
  <si>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</si>
  <si>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</si>
  <si>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</si>
  <si>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</si>
  <si>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</si>
  <si>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</si>
  <si>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</si>
  <si>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</si>
  <si>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</si>
  <si>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</si>
  <si>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</si>
  <si>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</si>
  <si>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</si>
  <si>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</si>
  <si>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</si>
  <si>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</si>
  <si>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</si>
  <si>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</si>
  <si>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</si>
  <si>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</si>
  <si>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</si>
  <si>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</si>
  <si>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</si>
  <si>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</si>
  <si>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</si>
  <si>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</si>
  <si>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</si>
  <si>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</si>
  <si>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</si>
  <si>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</si>
  <si>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</si>
  <si>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</si>
  <si>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</si>
  <si>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</si>
  <si>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</si>
  <si>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</si>
  <si>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</si>
  <si>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</si>
  <si>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</si>
  <si>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</si>
  <si>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</si>
  <si>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</si>
  <si>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</si>
  <si>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</si>
  <si>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</si>
  <si>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</si>
  <si>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</si>
  <si>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</si>
  <si>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</si>
  <si>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</si>
  <si>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</si>
  <si>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</si>
  <si>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</si>
  <si>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</si>
  <si>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</si>
  <si>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</si>
  <si>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</si>
  <si>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</si>
  <si>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</si>
  <si>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</si>
  <si>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</si>
  <si>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</si>
  <si>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</si>
  <si>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</si>
  <si>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</si>
  <si>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</si>
  <si>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</si>
  <si>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</si>
  <si>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</si>
  <si>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</si>
  <si>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</si>
  <si>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</si>
  <si>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</si>
  <si>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</si>
  <si>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</si>
  <si>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</si>
  <si>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</si>
  <si>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</si>
  <si>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</si>
  <si>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</si>
  <si>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</si>
  <si>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</si>
  <si>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</si>
  <si>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</si>
  <si>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</si>
  <si>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</si>
  <si>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</si>
  <si>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</si>
  <si>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</si>
  <si>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</si>
  <si>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</si>
  <si>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</si>
  <si>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</si>
  <si>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</si>
  <si>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</si>
  <si>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</si>
  <si>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</si>
  <si>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</si>
  <si>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</si>
  <si>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</si>
  <si>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</si>
  <si>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</si>
  <si>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</si>
  <si>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</si>
  <si>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</si>
  <si>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</si>
  <si>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</si>
  <si>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</si>
  <si>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</si>
  <si>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</si>
  <si>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</si>
  <si>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</si>
  <si>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</si>
  <si>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</si>
  <si>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</si>
  <si>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</si>
  <si>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</si>
  <si>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</si>
  <si>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</si>
  <si>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</si>
  <si>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</si>
  <si>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</si>
  <si>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</si>
  <si>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</si>
  <si>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</si>
  <si>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</si>
  <si>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</si>
  <si>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</si>
  <si>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</si>
  <si>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</si>
  <si>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</si>
  <si>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</si>
  <si>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</si>
  <si>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</si>
  <si>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</si>
  <si>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</si>
  <si>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</si>
  <si>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</si>
  <si>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</si>
  <si>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</si>
  <si>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</si>
  <si>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</si>
  <si>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</si>
  <si>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</si>
  <si>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</si>
  <si>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</si>
  <si>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</si>
  <si>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</si>
  <si>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</si>
  <si>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</si>
  <si>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</si>
  <si>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</si>
  <si>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</si>
  <si>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</si>
  <si>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</si>
  <si>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</si>
  <si>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</si>
  <si>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</si>
  <si>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</si>
  <si>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</si>
  <si>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</si>
  <si>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</si>
  <si>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</si>
  <si>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</si>
  <si>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</si>
  <si>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</si>
  <si>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</si>
  <si>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</si>
  <si>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</si>
  <si>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</si>
  <si>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</si>
  <si>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</si>
  <si>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</si>
  <si>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</si>
  <si>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</si>
  <si>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</si>
  <si>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</si>
  <si>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</si>
  <si>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</si>
  <si>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</si>
  <si>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</si>
  <si>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</si>
  <si>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</si>
  <si>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</si>
  <si>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</si>
  <si>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</si>
  <si>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</si>
  <si>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</si>
  <si>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</si>
  <si>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</si>
  <si>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</si>
  <si>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</si>
  <si>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</si>
  <si>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</si>
  <si>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</si>
  <si>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</si>
  <si>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</si>
  <si>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</si>
  <si>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</si>
  <si>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</si>
  <si>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</si>
  <si>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</si>
  <si>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</si>
  <si>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</si>
  <si>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</si>
  <si>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</si>
  <si>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</si>
  <si>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</si>
  <si>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</si>
  <si>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</si>
  <si>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</si>
  <si>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</si>
  <si>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</si>
  <si>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</si>
  <si>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</si>
  <si>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</si>
  <si>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</si>
  <si>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</si>
  <si>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</si>
  <si>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</si>
  <si>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</si>
  <si>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</si>
  <si>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</si>
  <si>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</si>
  <si>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</si>
  <si>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</si>
  <si>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</si>
  <si>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</si>
  <si>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</si>
  <si>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</si>
  <si>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</si>
  <si>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</si>
  <si>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</si>
  <si>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</si>
  <si>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</si>
  <si>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</si>
  <si>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</si>
  <si>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</si>
  <si>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</si>
  <si>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</si>
  <si>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</si>
  <si>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</si>
  <si>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</si>
  <si>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</si>
  <si>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</si>
  <si>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</si>
  <si>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</si>
  <si>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</si>
  <si>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</si>
  <si>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</si>
  <si>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</si>
  <si>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</si>
  <si>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</si>
  <si>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</si>
  <si>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</si>
  <si>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</si>
  <si>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</si>
  <si>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</si>
  <si>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</si>
  <si>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</si>
  <si>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</si>
  <si>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</si>
  <si>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</si>
  <si>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</si>
  <si>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</si>
  <si>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</si>
  <si>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</si>
  <si>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</si>
  <si>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</si>
  <si>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</si>
  <si>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</si>
  <si>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</si>
  <si>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</si>
  <si>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</si>
  <si>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</si>
  <si>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</si>
  <si>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</si>
  <si>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</si>
  <si>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</si>
  <si>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</si>
  <si>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</si>
  <si>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</si>
  <si>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</si>
  <si>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</si>
  <si>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</si>
  <si>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</si>
  <si>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</si>
  <si>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</si>
  <si>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</si>
  <si>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</si>
  <si>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</si>
  <si>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</si>
  <si>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</si>
  <si>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</si>
  <si>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</si>
  <si>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</si>
  <si>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</si>
  <si>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</si>
  <si>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</si>
  <si>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</si>
  <si>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</si>
  <si>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</si>
  <si>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</si>
  <si>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</si>
  <si>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</si>
  <si>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</si>
  <si>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</si>
  <si>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</si>
  <si>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</si>
  <si>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</si>
  <si>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</si>
  <si>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</si>
  <si>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</si>
  <si>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</si>
  <si>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</si>
  <si>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</si>
  <si>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</si>
  <si>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</si>
  <si>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</si>
  <si>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</si>
  <si>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</si>
  <si>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</si>
  <si>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</si>
  <si>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</si>
  <si>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</si>
  <si>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</si>
  <si>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</si>
  <si>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</si>
  <si>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</si>
  <si>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</si>
  <si>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</si>
  <si>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</si>
  <si>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</si>
  <si>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</si>
  <si>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</si>
  <si>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</si>
  <si>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</si>
  <si>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</si>
  <si>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</si>
  <si>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</si>
  <si>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</si>
  <si>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</si>
  <si>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</si>
  <si>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</si>
  <si>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</si>
  <si>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</si>
  <si>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</si>
  <si>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</si>
  <si>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</si>
  <si>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</si>
  <si>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</si>
  <si>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</si>
  <si>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</si>
  <si>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</si>
  <si>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</si>
  <si>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</si>
  <si>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</si>
  <si>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</si>
  <si>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</si>
  <si>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</si>
  <si>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</si>
  <si>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</si>
  <si>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</si>
  <si>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</si>
  <si>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</si>
  <si>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</si>
  <si>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</si>
  <si>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</si>
  <si>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</si>
  <si>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</si>
  <si>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</si>
  <si>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</si>
  <si>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</si>
  <si>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</si>
  <si>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</si>
  <si>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</si>
  <si>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</si>
  <si>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</si>
  <si>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</si>
  <si>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</si>
  <si>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</si>
  <si>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</si>
  <si>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</si>
  <si>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</si>
  <si>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</si>
  <si>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</si>
  <si>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</si>
  <si>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</si>
  <si>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</si>
  <si>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</si>
  <si>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</si>
  <si>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</si>
  <si>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</si>
  <si>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</si>
  <si>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</si>
  <si>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</si>
  <si>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</si>
  <si>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</si>
  <si>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</si>
  <si>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</si>
  <si>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</si>
  <si>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</si>
  <si>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</si>
  <si>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</si>
  <si>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</si>
  <si>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</si>
  <si>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</si>
  <si>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</si>
  <si>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</si>
  <si>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</si>
  <si>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</si>
  <si>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</si>
  <si>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</si>
  <si>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</si>
  <si>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</si>
  <si>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</si>
  <si>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</si>
  <si>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</si>
  <si>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</si>
  <si>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</si>
  <si>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</si>
  <si>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</si>
  <si>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</si>
  <si>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</si>
  <si>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</si>
  <si>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</si>
  <si>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</si>
  <si>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</si>
  <si>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</si>
  <si>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</si>
  <si>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</si>
  <si>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</si>
  <si>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</si>
  <si>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</si>
  <si>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</si>
  <si>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</si>
  <si>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</si>
  <si>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</si>
  <si>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</si>
  <si>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</si>
  <si>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</si>
  <si>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</si>
  <si>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</si>
  <si>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</si>
  <si>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</si>
  <si>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</si>
  <si>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</si>
  <si>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</si>
  <si>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</si>
  <si>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</si>
  <si>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</si>
  <si>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</si>
  <si>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</si>
  <si>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</si>
  <si>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</si>
  <si>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</si>
  <si>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</si>
  <si>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</si>
  <si>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</si>
  <si>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</si>
  <si>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</si>
  <si>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</si>
  <si>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</si>
  <si>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</si>
  <si>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</si>
  <si>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</si>
  <si>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</si>
  <si>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</si>
  <si>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</si>
  <si>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</si>
  <si>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</si>
  <si>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</si>
  <si>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</si>
  <si>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</si>
  <si>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</si>
  <si>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</si>
  <si>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</si>
  <si>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</si>
  <si>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</si>
  <si>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</si>
  <si>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</si>
  <si>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</si>
  <si>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</si>
  <si>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</si>
  <si>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</si>
  <si>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</si>
  <si>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</si>
  <si>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</si>
  <si>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</si>
  <si>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</si>
  <si>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</si>
  <si>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</si>
  <si>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</si>
  <si>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</si>
  <si>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</si>
  <si>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</si>
  <si>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</si>
  <si>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</si>
  <si>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</si>
  <si>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</si>
  <si>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</si>
  <si>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</si>
  <si>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</si>
  <si>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</si>
  <si>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</si>
  <si>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</si>
  <si>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</si>
  <si>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</si>
  <si>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</si>
  <si>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</si>
  <si>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</si>
  <si>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</si>
  <si>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</si>
  <si>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</si>
  <si>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</si>
  <si>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</si>
  <si>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</si>
  <si>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</si>
  <si>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</si>
  <si>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</si>
  <si>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</si>
  <si>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</si>
  <si>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</si>
  <si>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</si>
  <si>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</si>
  <si>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</si>
  <si>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</si>
  <si>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</si>
  <si>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</si>
  <si>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</si>
  <si>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</si>
  <si>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</si>
  <si>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</si>
  <si>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</si>
  <si>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</si>
  <si>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</si>
  <si>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</si>
  <si>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</si>
  <si>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</si>
  <si>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</si>
  <si>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</si>
  <si>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</si>
  <si>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</si>
  <si>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</si>
  <si>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</si>
  <si>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</si>
  <si>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</si>
  <si>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</si>
  <si>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</si>
  <si>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</si>
  <si>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</si>
  <si>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</si>
  <si>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</si>
  <si>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</si>
  <si>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</si>
  <si>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</si>
  <si>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</si>
  <si>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</si>
  <si>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</si>
  <si>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</si>
  <si>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</si>
  <si>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</si>
  <si>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</si>
  <si>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</si>
  <si>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</si>
  <si>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</si>
  <si>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</si>
  <si>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</si>
  <si>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</si>
  <si>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</si>
  <si>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</si>
  <si>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</si>
  <si>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</si>
  <si>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</si>
  <si>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</si>
  <si>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</si>
  <si>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</si>
  <si>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</si>
  <si>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</si>
  <si>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</si>
  <si>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</si>
  <si>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</si>
  <si>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</si>
  <si>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</si>
  <si>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</si>
  <si>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</si>
  <si>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</si>
  <si>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</si>
  <si>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</si>
  <si>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</si>
  <si>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</si>
  <si>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</si>
  <si>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</si>
  <si>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</si>
  <si>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</si>
  <si>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</si>
  <si>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</si>
  <si>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</si>
  <si>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</si>
  <si>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</si>
  <si>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</si>
  <si>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</si>
  <si>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</si>
  <si>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</si>
  <si>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</si>
  <si>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</si>
  <si>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</si>
  <si>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</si>
  <si>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</si>
  <si>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</si>
  <si>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</si>
  <si>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</si>
  <si>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</si>
  <si>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</si>
  <si>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</si>
  <si>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</si>
  <si>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</si>
  <si>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</si>
  <si>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</si>
  <si>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</si>
  <si>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</si>
  <si>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</si>
  <si>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</si>
  <si>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</si>
  <si>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</si>
  <si>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</si>
  <si>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</si>
  <si>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</si>
  <si>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</si>
  <si>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</si>
  <si>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</si>
  <si>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</si>
  <si>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</si>
  <si>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</si>
  <si>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</si>
  <si>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</si>
  <si>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</si>
  <si>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</si>
  <si>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</si>
  <si>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</si>
  <si>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</si>
  <si>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</si>
  <si>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</si>
  <si>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</si>
  <si>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</si>
  <si>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</si>
  <si>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</si>
  <si>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</si>
  <si>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</si>
  <si>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</si>
  <si>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</si>
  <si>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</si>
  <si>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</si>
  <si>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</si>
  <si>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</si>
  <si>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</si>
  <si>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</si>
  <si>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</si>
  <si>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</si>
  <si>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</si>
  <si>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</si>
  <si>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</si>
  <si>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</si>
  <si>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</si>
  <si>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</si>
  <si>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</si>
  <si>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</si>
  <si>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</si>
  <si>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</si>
  <si>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</si>
  <si>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</si>
  <si>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</si>
  <si>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</si>
  <si>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</si>
  <si>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</si>
  <si>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</si>
  <si>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</si>
  <si>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</si>
  <si>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</si>
  <si>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</si>
  <si>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</si>
  <si>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</si>
  <si>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</si>
  <si>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</si>
  <si>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</si>
  <si>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</si>
  <si>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</si>
  <si>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</si>
  <si>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</si>
  <si>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</si>
  <si>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</si>
  <si>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</si>
  <si>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</si>
  <si>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</si>
  <si>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</si>
  <si>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</si>
  <si>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</si>
  <si>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</si>
  <si>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</si>
  <si>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</si>
  <si>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</si>
  <si>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</si>
  <si>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</si>
  <si>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</si>
  <si>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</si>
  <si>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</si>
  <si>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</si>
  <si>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</si>
  <si>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</si>
  <si>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</si>
  <si>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</si>
  <si>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</si>
  <si>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</si>
  <si>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</si>
  <si>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</si>
  <si>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</si>
  <si>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</si>
  <si>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</si>
  <si>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</si>
  <si>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</si>
  <si>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</si>
  <si>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</si>
  <si>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</si>
  <si>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</si>
  <si>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</si>
  <si>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</si>
  <si>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</si>
  <si>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</si>
  <si>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</si>
  <si>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</si>
  <si>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</si>
  <si>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</si>
  <si>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</si>
  <si>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</si>
  <si>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</si>
  <si>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</si>
  <si>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</si>
  <si>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</si>
  <si>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</si>
  <si>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</si>
  <si>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</si>
  <si>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</si>
  <si>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</si>
  <si>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</si>
  <si>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</si>
  <si>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</si>
  <si>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</si>
  <si>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</si>
  <si>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</si>
  <si>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</si>
  <si>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</si>
  <si>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</si>
  <si>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</si>
  <si>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</si>
  <si>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</si>
  <si>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</si>
  <si>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</si>
  <si>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</si>
  <si>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</si>
  <si>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</si>
  <si>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</si>
  <si>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</si>
  <si>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</si>
  <si>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</si>
  <si>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</si>
  <si>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</si>
  <si>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</si>
  <si>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</si>
  <si>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</si>
  <si>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</si>
  <si>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</si>
  <si>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</si>
  <si>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</si>
  <si>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</si>
  <si>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</si>
  <si>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</si>
  <si>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</si>
  <si>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</si>
  <si>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</si>
  <si>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</si>
  <si>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</si>
  <si>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</si>
  <si>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</si>
  <si>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</si>
  <si>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</si>
  <si>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</si>
  <si>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</si>
  <si>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</si>
  <si>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</si>
  <si>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</si>
  <si>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</si>
  <si>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</si>
  <si>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</si>
  <si>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</si>
  <si>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</si>
  <si>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</si>
  <si>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</si>
  <si>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</si>
  <si>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</si>
  <si>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</si>
  <si>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</si>
  <si>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</si>
  <si>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</si>
  <si>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</si>
  <si>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</si>
  <si>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</si>
  <si>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</si>
  <si>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</si>
  <si>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</si>
  <si>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</si>
  <si>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</si>
  <si>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</si>
  <si>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</si>
  <si>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</si>
  <si>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</si>
  <si>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</si>
  <si>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</si>
  <si>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</si>
  <si>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</si>
  <si>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</si>
  <si>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</si>
  <si>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</si>
  <si>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</si>
  <si>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</si>
  <si>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</si>
  <si>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</si>
  <si>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</si>
  <si>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</si>
  <si>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</si>
  <si>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</si>
  <si>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</si>
  <si>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</si>
  <si>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</si>
  <si>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</si>
  <si>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</si>
  <si>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</si>
  <si>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</si>
  <si>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</si>
  <si>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</si>
  <si>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</si>
  <si>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</si>
  <si>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</si>
  <si>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</si>
  <si>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</si>
  <si>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</si>
  <si>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</si>
  <si>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</si>
  <si>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</si>
  <si>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</si>
  <si>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</si>
  <si>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</si>
  <si>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</si>
  <si>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</si>
  <si>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</si>
  <si>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</si>
  <si>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</si>
  <si>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</si>
  <si>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</si>
  <si>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</si>
  <si>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</si>
  <si>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</si>
  <si>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</si>
  <si>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</si>
  <si>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</si>
  <si>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</si>
  <si>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</si>
  <si>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</si>
  <si>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</si>
  <si>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</si>
  <si>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</si>
  <si>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</si>
  <si>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</si>
  <si>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</si>
  <si>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</si>
  <si>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</si>
  <si>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</si>
  <si>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</si>
  <si>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</si>
  <si>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</si>
  <si>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</si>
  <si>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</si>
  <si>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</si>
  <si>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</si>
  <si>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</si>
  <si>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</si>
  <si>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</si>
  <si>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</si>
  <si>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</si>
  <si>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</si>
  <si>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</si>
  <si>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</si>
  <si>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</si>
  <si>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</si>
  <si>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</si>
  <si>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</si>
  <si>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</si>
  <si>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</si>
  <si>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</si>
  <si>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</si>
  <si>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</si>
  <si>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</si>
  <si>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</si>
  <si>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</si>
  <si>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</si>
  <si>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</si>
  <si>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</si>
  <si>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</si>
  <si>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</si>
  <si>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</si>
  <si>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</si>
  <si>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</si>
  <si>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</si>
  <si>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</si>
  <si>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</si>
  <si>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</si>
  <si>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</si>
  <si>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</si>
  <si>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</si>
  <si>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</si>
  <si>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</si>
  <si>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</si>
  <si>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</si>
  <si>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</si>
  <si>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</si>
  <si>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</si>
  <si>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</si>
  <si>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</si>
  <si>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</si>
  <si>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</si>
  <si>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</si>
  <si>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</si>
  <si>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</si>
  <si>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</si>
  <si>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</si>
  <si>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</si>
  <si>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</si>
  <si>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</si>
  <si>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</si>
  <si>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</si>
  <si>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</si>
  <si>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</si>
  <si>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</si>
  <si>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</si>
  <si>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</si>
  <si>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</si>
  <si>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</si>
  <si>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</si>
  <si>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</si>
  <si>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</si>
  <si>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</si>
  <si>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</si>
  <si>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</si>
  <si>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</si>
  <si>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</si>
  <si>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</si>
  <si>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</si>
  <si>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</si>
  <si>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</si>
  <si>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</si>
  <si>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</si>
  <si>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</si>
  <si>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</si>
  <si>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</si>
  <si>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</si>
  <si>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</si>
  <si>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</si>
  <si>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</si>
  <si>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</si>
  <si>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</si>
  <si>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</si>
  <si>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</si>
  <si>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</si>
  <si>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</si>
  <si>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</si>
  <si>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</si>
  <si>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</si>
  <si>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</si>
  <si>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</si>
  <si>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</si>
  <si>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</si>
  <si>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</si>
  <si>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</si>
  <si>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</si>
  <si>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</si>
  <si>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</si>
  <si>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</si>
  <si>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</si>
  <si>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</si>
  <si>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</si>
  <si>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</si>
  <si>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</si>
  <si>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</si>
  <si>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</si>
  <si>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</si>
  <si>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</si>
  <si>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</si>
  <si>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</si>
  <si>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</si>
  <si>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</si>
  <si>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</si>
  <si>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</si>
  <si>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</si>
  <si>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</si>
  <si>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</si>
  <si>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</si>
  <si>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</si>
  <si>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</si>
  <si>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</si>
  <si>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</si>
  <si>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</si>
  <si>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</si>
  <si>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</si>
  <si>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</si>
  <si>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</si>
  <si>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</si>
  <si>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</si>
  <si>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</si>
  <si>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</si>
  <si>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</si>
  <si>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</si>
  <si>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</si>
  <si>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</si>
  <si>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</si>
  <si>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</si>
  <si>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</si>
  <si>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</si>
  <si>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</si>
  <si>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</si>
  <si>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</si>
  <si>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</si>
  <si>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</si>
  <si>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</si>
  <si>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</si>
  <si>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</si>
  <si>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</si>
  <si>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</si>
  <si>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</si>
  <si>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</si>
  <si>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</si>
  <si>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</si>
  <si>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</si>
  <si>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</si>
  <si>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</si>
  <si>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</si>
  <si>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</si>
  <si>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</si>
  <si>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</si>
  <si>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</si>
  <si>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</si>
  <si>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</si>
  <si>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</si>
  <si>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</si>
  <si>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</si>
  <si>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</si>
  <si>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</si>
  <si>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</si>
  <si>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</si>
  <si>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</si>
  <si>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</si>
  <si>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</si>
  <si>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</si>
  <si>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</si>
  <si>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</si>
  <si>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</si>
  <si>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</si>
  <si>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</si>
  <si>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</si>
  <si>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</si>
  <si>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</si>
  <si>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</si>
  <si>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</si>
  <si>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</si>
  <si>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</si>
  <si>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</si>
  <si>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</si>
  <si>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</si>
  <si>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</si>
  <si>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</si>
  <si>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</si>
  <si>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</si>
  <si>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</si>
  <si>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</si>
  <si>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</si>
  <si>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</si>
  <si>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</si>
  <si>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</si>
  <si>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</si>
  <si>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</si>
  <si>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</si>
  <si>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</si>
  <si>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</si>
  <si>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</si>
  <si>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</si>
  <si>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</si>
  <si>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</si>
  <si>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</si>
  <si>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</si>
  <si>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</si>
  <si>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</si>
  <si>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</si>
  <si>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</si>
  <si>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</si>
  <si>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</si>
  <si>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</si>
  <si>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</si>
  <si>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</si>
  <si>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</si>
  <si>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</si>
  <si>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</si>
  <si>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</si>
  <si>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</si>
  <si>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</si>
  <si>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</si>
  <si>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</si>
  <si>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</si>
  <si>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</si>
  <si>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</si>
  <si>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</si>
  <si>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</si>
  <si>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</si>
  <si>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</si>
  <si>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</si>
  <si>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</si>
  <si>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</si>
  <si>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</si>
  <si>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</si>
  <si>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</si>
  <si>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</si>
  <si>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</si>
  <si>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</si>
  <si>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</si>
  <si>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</si>
  <si>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</si>
  <si>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</si>
  <si>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</si>
  <si>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</si>
  <si>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</si>
  <si>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</si>
  <si>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</si>
  <si>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</si>
  <si>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</si>
  <si>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</si>
  <si>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</si>
  <si>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</si>
  <si>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</si>
  <si>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</si>
  <si>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</si>
  <si>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</si>
  <si>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</si>
  <si>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</si>
  <si>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</si>
  <si>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</si>
  <si>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</si>
  <si>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</si>
  <si>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</si>
  <si>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</si>
  <si>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</si>
  <si>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</si>
  <si>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</si>
  <si>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</si>
  <si>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</si>
  <si>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</si>
  <si>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</si>
  <si>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</si>
  <si>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</si>
  <si>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</si>
  <si>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</si>
  <si>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</si>
  <si>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</si>
  <si>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</si>
  <si>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</si>
  <si>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</si>
  <si>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</si>
  <si>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</si>
  <si>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</si>
  <si>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</si>
  <si>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</si>
  <si>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</si>
  <si>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</si>
  <si>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</si>
  <si>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</si>
  <si>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</si>
  <si>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</si>
  <si>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</si>
  <si>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</si>
  <si>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</si>
  <si>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</si>
  <si>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</si>
  <si>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</si>
  <si>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</si>
  <si>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</si>
  <si>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</si>
  <si>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</si>
  <si>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</si>
  <si>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</si>
  <si>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</si>
  <si>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</si>
  <si>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</si>
  <si>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</si>
  <si>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</si>
  <si>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</si>
  <si>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</si>
  <si>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</si>
  <si>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</si>
  <si>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</si>
  <si>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</si>
  <si>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</si>
  <si>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</si>
  <si>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</si>
  <si>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</si>
  <si>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</si>
  <si>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</si>
  <si>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</si>
  <si>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</si>
  <si>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</si>
  <si>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</si>
  <si>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</si>
  <si>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</si>
  <si>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</si>
  <si>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</si>
  <si>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</si>
  <si>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</si>
  <si>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</si>
  <si>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</si>
  <si>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</si>
  <si>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</si>
  <si>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</si>
  <si>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</si>
  <si>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</si>
  <si>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</si>
  <si>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</si>
  <si>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</si>
  <si>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</si>
  <si>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</si>
  <si>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</si>
  <si>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</si>
  <si>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</si>
  <si>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</si>
  <si>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</si>
  <si>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</si>
  <si>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</si>
  <si>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</si>
  <si>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</si>
  <si>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</si>
  <si>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</si>
  <si>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</si>
  <si>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</si>
  <si>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</si>
  <si>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</si>
  <si>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</si>
  <si>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</si>
  <si>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</si>
  <si>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</si>
  <si>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</si>
  <si>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</si>
  <si>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</si>
  <si>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</si>
  <si>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</si>
  <si>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</si>
  <si>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</si>
  <si>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</si>
  <si>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</si>
  <si>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</si>
  <si>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</si>
  <si>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</si>
  <si>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</si>
  <si>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</si>
  <si>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</si>
  <si>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</si>
  <si>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</si>
  <si>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</si>
  <si>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Glassoom?</t>
  </si>
  <si>
    <t>formation Alex</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</si>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</sst>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29">
    <xf numFmtId="0" fontId="0" fillId="0" borderId="0"/>
    <xf numFmtId="43" fontId="111" fillId="0" borderId="0" applyFont="0" applyFill="0" applyBorder="0" applyAlignment="0" applyProtection="0"/>
    <xf numFmtId="9" fontId="111" fillId="0" borderId="0" applyFont="0" applyFill="0" applyBorder="0" applyAlignment="0" applyProtection="0"/>
    <xf numFmtId="168" fontId="173" fillId="0" borderId="0"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0" fontId="66" fillId="0" borderId="1"/>
    <xf numFmtId="9" fontId="66" fillId="0" borderId="1" applyFont="0" applyFill="0" applyBorder="0" applyAlignment="0" applyProtection="0"/>
    <xf numFmtId="44" fontId="66" fillId="0" borderId="1" applyFont="0" applyFill="0" applyBorder="0" applyAlignment="0" applyProtection="0"/>
    <xf numFmtId="0" fontId="65" fillId="0" borderId="1"/>
    <xf numFmtId="165" fontId="65" fillId="0" borderId="1" applyFont="0" applyFill="0" applyBorder="0" applyAlignment="0" applyProtection="0"/>
    <xf numFmtId="0" fontId="64" fillId="0" borderId="1"/>
    <xf numFmtId="0" fontId="63" fillId="0" borderId="1"/>
    <xf numFmtId="0" fontId="62" fillId="0" borderId="1"/>
    <xf numFmtId="0" fontId="61" fillId="0" borderId="1"/>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9" fontId="60" fillId="0" borderId="1" applyFont="0" applyFill="0" applyBorder="0" applyAlignment="0" applyProtection="0"/>
    <xf numFmtId="164"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0" fontId="60" fillId="0" borderId="1"/>
    <xf numFmtId="0" fontId="60" fillId="0" borderId="1"/>
    <xf numFmtId="0" fontId="182" fillId="0" borderId="0" applyNumberFormat="0" applyFill="0" applyBorder="0" applyAlignment="0" applyProtection="0"/>
    <xf numFmtId="0" fontId="59" fillId="0" borderId="1"/>
    <xf numFmtId="0" fontId="58" fillId="0" borderId="1"/>
    <xf numFmtId="0" fontId="57" fillId="0" borderId="1"/>
    <xf numFmtId="0" fontId="56" fillId="0" borderId="1"/>
    <xf numFmtId="0" fontId="55" fillId="0" borderId="1"/>
    <xf numFmtId="0" fontId="53" fillId="0" borderId="1"/>
    <xf numFmtId="0" fontId="52" fillId="0" borderId="1"/>
    <xf numFmtId="0" fontId="51"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32">
    <xf numFmtId="0" fontId="0" fillId="0" borderId="0" xfId="0"/>
    <xf numFmtId="0" fontId="108" fillId="0" borderId="0" xfId="0" applyFont="1"/>
    <xf numFmtId="0" fontId="109" fillId="2" borderId="1" xfId="0" applyFont="1" applyFill="1" applyBorder="1" applyAlignment="1">
      <alignment horizontal="center"/>
    </xf>
    <xf numFmtId="0" fontId="109" fillId="0" borderId="0" xfId="0" applyFont="1"/>
    <xf numFmtId="0" fontId="110" fillId="0" borderId="0" xfId="0" applyFont="1" applyAlignment="1">
      <alignment horizontal="center"/>
    </xf>
    <xf numFmtId="0" fontId="111" fillId="0" borderId="0" xfId="0" applyFont="1"/>
    <xf numFmtId="0" fontId="108" fillId="0" borderId="0" xfId="0" applyFont="1" applyAlignment="1">
      <alignment horizontal="center"/>
    </xf>
    <xf numFmtId="169" fontId="109" fillId="0" borderId="0" xfId="0" applyNumberFormat="1" applyFont="1" applyAlignment="1">
      <alignment horizontal="center"/>
    </xf>
    <xf numFmtId="0" fontId="112" fillId="0" borderId="0" xfId="0" applyFont="1" applyAlignment="1">
      <alignment horizontal="left"/>
    </xf>
    <xf numFmtId="0" fontId="113" fillId="0" borderId="0" xfId="0" applyFont="1" applyAlignment="1">
      <alignment horizontal="center"/>
    </xf>
    <xf numFmtId="0" fontId="113" fillId="0" borderId="0" xfId="0" applyFont="1" applyAlignment="1">
      <alignment horizontal="right"/>
    </xf>
    <xf numFmtId="0" fontId="112" fillId="0" borderId="0" xfId="0" applyFont="1"/>
    <xf numFmtId="0" fontId="109" fillId="0" borderId="2" xfId="0" applyFont="1" applyBorder="1"/>
    <xf numFmtId="0" fontId="114" fillId="0" borderId="3" xfId="0" applyFont="1" applyBorder="1"/>
    <xf numFmtId="170" fontId="114" fillId="0" borderId="4" xfId="0" applyNumberFormat="1" applyFont="1" applyBorder="1"/>
    <xf numFmtId="171" fontId="114" fillId="0" borderId="0" xfId="0" applyNumberFormat="1" applyFont="1"/>
    <xf numFmtId="171" fontId="114" fillId="0" borderId="5" xfId="0" applyNumberFormat="1" applyFont="1" applyBorder="1"/>
    <xf numFmtId="0" fontId="115" fillId="0" borderId="6" xfId="0" applyFont="1" applyBorder="1"/>
    <xf numFmtId="170" fontId="115" fillId="0" borderId="7" xfId="0" applyNumberFormat="1" applyFont="1" applyBorder="1"/>
    <xf numFmtId="171" fontId="115" fillId="0" borderId="0" xfId="0" applyNumberFormat="1" applyFont="1"/>
    <xf numFmtId="0" fontId="114" fillId="0" borderId="8" xfId="0" applyFont="1" applyBorder="1"/>
    <xf numFmtId="170" fontId="114" fillId="0" borderId="9" xfId="0" applyNumberFormat="1" applyFont="1" applyBorder="1"/>
    <xf numFmtId="0" fontId="115" fillId="0" borderId="8" xfId="0" applyFont="1" applyBorder="1"/>
    <xf numFmtId="0" fontId="115" fillId="3" borderId="10" xfId="0" applyFont="1" applyFill="1" applyBorder="1"/>
    <xf numFmtId="170" fontId="115" fillId="3" borderId="11" xfId="0" applyNumberFormat="1" applyFont="1" applyFill="1" applyBorder="1"/>
    <xf numFmtId="0" fontId="115" fillId="3" borderId="12" xfId="0" applyFont="1" applyFill="1" applyBorder="1"/>
    <xf numFmtId="170" fontId="115" fillId="3" borderId="13" xfId="0" applyNumberFormat="1" applyFont="1" applyFill="1" applyBorder="1"/>
    <xf numFmtId="0" fontId="115" fillId="0" borderId="0" xfId="0" applyFont="1"/>
    <xf numFmtId="170" fontId="114" fillId="0" borderId="7" xfId="0" applyNumberFormat="1" applyFont="1" applyBorder="1"/>
    <xf numFmtId="171" fontId="109" fillId="0" borderId="0" xfId="0" applyNumberFormat="1" applyFont="1"/>
    <xf numFmtId="0" fontId="109" fillId="0" borderId="8" xfId="0" applyFont="1" applyBorder="1"/>
    <xf numFmtId="170" fontId="109" fillId="0" borderId="9" xfId="0" applyNumberFormat="1" applyFont="1" applyBorder="1"/>
    <xf numFmtId="172" fontId="109" fillId="0" borderId="0" xfId="0" applyNumberFormat="1" applyFont="1"/>
    <xf numFmtId="0" fontId="109" fillId="0" borderId="0" xfId="0" applyFont="1" applyAlignment="1">
      <alignment horizontal="center"/>
    </xf>
    <xf numFmtId="0" fontId="117" fillId="0" borderId="0" xfId="0" applyFont="1" applyAlignment="1">
      <alignment horizontal="center"/>
    </xf>
    <xf numFmtId="0" fontId="113" fillId="4" borderId="15" xfId="0" applyFont="1" applyFill="1" applyBorder="1" applyAlignment="1">
      <alignment horizontal="center"/>
    </xf>
    <xf numFmtId="0" fontId="113" fillId="0" borderId="0" xfId="0" applyFont="1"/>
    <xf numFmtId="173" fontId="118" fillId="0" borderId="0" xfId="0" applyNumberFormat="1" applyFont="1" applyAlignment="1">
      <alignment horizontal="left"/>
    </xf>
    <xf numFmtId="0" fontId="118" fillId="0" borderId="0" xfId="0" applyFont="1"/>
    <xf numFmtId="0" fontId="119" fillId="0" borderId="0" xfId="0" applyFont="1" applyAlignment="1">
      <alignment horizontal="center"/>
    </xf>
    <xf numFmtId="0" fontId="112" fillId="5" borderId="16" xfId="0" applyFont="1" applyFill="1" applyBorder="1" applyAlignment="1">
      <alignment horizontal="center"/>
    </xf>
    <xf numFmtId="0" fontId="119" fillId="0" borderId="0" xfId="0" applyFont="1"/>
    <xf numFmtId="0" fontId="119" fillId="5" borderId="19" xfId="0" applyFont="1" applyFill="1" applyBorder="1"/>
    <xf numFmtId="0" fontId="119" fillId="5" borderId="22" xfId="0" applyFont="1" applyFill="1" applyBorder="1"/>
    <xf numFmtId="0" fontId="119" fillId="5" borderId="20" xfId="0" applyFont="1" applyFill="1" applyBorder="1"/>
    <xf numFmtId="0" fontId="112" fillId="5" borderId="19" xfId="0" applyFont="1" applyFill="1" applyBorder="1"/>
    <xf numFmtId="0" fontId="112" fillId="5" borderId="22" xfId="0" applyFont="1" applyFill="1" applyBorder="1"/>
    <xf numFmtId="0" fontId="112" fillId="5" borderId="20" xfId="0" applyFont="1" applyFill="1" applyBorder="1"/>
    <xf numFmtId="0" fontId="119" fillId="5" borderId="1" xfId="0" applyFont="1" applyFill="1" applyBorder="1"/>
    <xf numFmtId="0" fontId="112" fillId="5" borderId="10" xfId="0" applyFont="1" applyFill="1" applyBorder="1"/>
    <xf numFmtId="0" fontId="112" fillId="5" borderId="12" xfId="0" applyFont="1" applyFill="1" applyBorder="1"/>
    <xf numFmtId="0" fontId="112" fillId="5" borderId="1" xfId="0" applyFont="1" applyFill="1" applyBorder="1"/>
    <xf numFmtId="0" fontId="112" fillId="5" borderId="20" xfId="0" applyFont="1" applyFill="1" applyBorder="1" applyAlignment="1">
      <alignment horizontal="left"/>
    </xf>
    <xf numFmtId="0" fontId="112" fillId="5" borderId="28" xfId="0" applyFont="1" applyFill="1" applyBorder="1"/>
    <xf numFmtId="0" fontId="120" fillId="5" borderId="20" xfId="0" applyFont="1" applyFill="1" applyBorder="1"/>
    <xf numFmtId="0" fontId="120" fillId="5" borderId="22" xfId="0" applyFont="1" applyFill="1" applyBorder="1"/>
    <xf numFmtId="0" fontId="112" fillId="5" borderId="31" xfId="0" applyFont="1" applyFill="1" applyBorder="1"/>
    <xf numFmtId="0" fontId="112" fillId="5" borderId="32" xfId="0" applyFont="1" applyFill="1" applyBorder="1"/>
    <xf numFmtId="0" fontId="121" fillId="5" borderId="1" xfId="0" applyFont="1" applyFill="1" applyBorder="1"/>
    <xf numFmtId="0" fontId="121" fillId="0" borderId="0" xfId="0" applyFont="1"/>
    <xf numFmtId="0" fontId="118" fillId="5" borderId="1" xfId="0" applyFont="1" applyFill="1" applyBorder="1"/>
    <xf numFmtId="0" fontId="113" fillId="5" borderId="1" xfId="0" applyFont="1" applyFill="1" applyBorder="1"/>
    <xf numFmtId="173" fontId="118" fillId="5" borderId="1" xfId="0" applyNumberFormat="1" applyFont="1" applyFill="1" applyBorder="1" applyAlignment="1">
      <alignment horizontal="left"/>
    </xf>
    <xf numFmtId="0" fontId="120" fillId="5" borderId="19" xfId="0" applyFont="1" applyFill="1" applyBorder="1"/>
    <xf numFmtId="0" fontId="112" fillId="5" borderId="33" xfId="0" applyFont="1" applyFill="1" applyBorder="1"/>
    <xf numFmtId="0" fontId="112" fillId="5" borderId="34" xfId="0" applyFont="1" applyFill="1" applyBorder="1"/>
    <xf numFmtId="0" fontId="112" fillId="5" borderId="37" xfId="0" applyFont="1" applyFill="1" applyBorder="1"/>
    <xf numFmtId="0" fontId="122" fillId="5" borderId="1" xfId="0" applyFont="1" applyFill="1" applyBorder="1" applyAlignment="1">
      <alignment horizontal="center" vertical="center"/>
    </xf>
    <xf numFmtId="0" fontId="122" fillId="5" borderId="22" xfId="0" applyFont="1" applyFill="1" applyBorder="1"/>
    <xf numFmtId="0" fontId="122" fillId="5" borderId="20" xfId="0" applyFont="1" applyFill="1" applyBorder="1"/>
    <xf numFmtId="0" fontId="122" fillId="5" borderId="28" xfId="0" applyFont="1" applyFill="1" applyBorder="1"/>
    <xf numFmtId="0" fontId="122" fillId="5" borderId="19" xfId="0" applyFont="1" applyFill="1" applyBorder="1"/>
    <xf numFmtId="0" fontId="122" fillId="5" borderId="37" xfId="0" applyFont="1" applyFill="1" applyBorder="1"/>
    <xf numFmtId="0" fontId="122" fillId="5" borderId="40" xfId="0" applyFont="1" applyFill="1" applyBorder="1"/>
    <xf numFmtId="0" fontId="118" fillId="5" borderId="41" xfId="0" applyFont="1" applyFill="1" applyBorder="1"/>
    <xf numFmtId="0" fontId="120" fillId="5" borderId="41" xfId="0" applyFont="1" applyFill="1" applyBorder="1"/>
    <xf numFmtId="0" fontId="119" fillId="5" borderId="41" xfId="0" applyFont="1" applyFill="1" applyBorder="1"/>
    <xf numFmtId="0" fontId="119" fillId="5" borderId="42" xfId="0" applyFont="1" applyFill="1" applyBorder="1"/>
    <xf numFmtId="0" fontId="122" fillId="5" borderId="43" xfId="0" applyFont="1" applyFill="1" applyBorder="1"/>
    <xf numFmtId="0" fontId="123" fillId="6" borderId="1" xfId="0" applyFont="1" applyFill="1" applyBorder="1"/>
    <xf numFmtId="0" fontId="118" fillId="6" borderId="1" xfId="0" applyFont="1" applyFill="1" applyBorder="1"/>
    <xf numFmtId="0" fontId="124" fillId="6" borderId="1" xfId="0" applyFont="1" applyFill="1" applyBorder="1"/>
    <xf numFmtId="0" fontId="125" fillId="6" borderId="1" xfId="0" applyFont="1" applyFill="1" applyBorder="1" applyAlignment="1">
      <alignment horizontal="center" vertical="center"/>
    </xf>
    <xf numFmtId="0" fontId="118" fillId="6" borderId="1" xfId="0" applyFont="1" applyFill="1" applyBorder="1" applyAlignment="1">
      <alignment horizontal="center" vertical="center"/>
    </xf>
    <xf numFmtId="0" fontId="123" fillId="6" borderId="1" xfId="0" applyFont="1" applyFill="1" applyBorder="1" applyAlignment="1">
      <alignment horizontal="center"/>
    </xf>
    <xf numFmtId="0" fontId="118" fillId="6" borderId="1" xfId="0" applyFont="1" applyFill="1" applyBorder="1" applyAlignment="1">
      <alignment horizontal="center"/>
    </xf>
    <xf numFmtId="0" fontId="126" fillId="6" borderId="1" xfId="0" applyFont="1" applyFill="1" applyBorder="1" applyAlignment="1">
      <alignment horizontal="center"/>
    </xf>
    <xf numFmtId="175" fontId="118" fillId="6" borderId="1" xfId="0" applyNumberFormat="1" applyFont="1" applyFill="1" applyBorder="1"/>
    <xf numFmtId="37" fontId="118" fillId="6" borderId="1" xfId="0" applyNumberFormat="1" applyFont="1" applyFill="1" applyBorder="1"/>
    <xf numFmtId="175" fontId="123" fillId="6" borderId="1" xfId="0" applyNumberFormat="1" applyFont="1" applyFill="1" applyBorder="1"/>
    <xf numFmtId="37" fontId="123" fillId="6" borderId="1" xfId="0" applyNumberFormat="1" applyFont="1" applyFill="1" applyBorder="1"/>
    <xf numFmtId="0" fontId="127" fillId="6" borderId="1" xfId="0" applyFont="1" applyFill="1" applyBorder="1"/>
    <xf numFmtId="0" fontId="126" fillId="6" borderId="1" xfId="0" applyFont="1" applyFill="1" applyBorder="1" applyAlignment="1">
      <alignment horizontal="left"/>
    </xf>
    <xf numFmtId="0" fontId="128" fillId="6" borderId="1" xfId="0" applyFont="1" applyFill="1" applyBorder="1"/>
    <xf numFmtId="37" fontId="118" fillId="0" borderId="0" xfId="0" applyNumberFormat="1" applyFont="1"/>
    <xf numFmtId="0" fontId="129" fillId="0" borderId="0" xfId="0" applyFont="1"/>
    <xf numFmtId="0" fontId="130" fillId="0" borderId="0" xfId="0" applyFont="1"/>
    <xf numFmtId="0" fontId="131" fillId="0" borderId="0" xfId="0" applyFont="1" applyAlignment="1">
      <alignment horizontal="center"/>
    </xf>
    <xf numFmtId="0" fontId="108" fillId="7" borderId="1" xfId="0" applyFont="1" applyFill="1" applyBorder="1" applyAlignment="1">
      <alignment horizontal="center"/>
    </xf>
    <xf numFmtId="0" fontId="108" fillId="8" borderId="45" xfId="0" applyFont="1" applyFill="1" applyBorder="1" applyAlignment="1">
      <alignment horizontal="center" vertical="center" wrapText="1"/>
    </xf>
    <xf numFmtId="0" fontId="108" fillId="8" borderId="46" xfId="0" applyFont="1" applyFill="1" applyBorder="1" applyAlignment="1">
      <alignment horizontal="center" vertical="center" wrapText="1"/>
    </xf>
    <xf numFmtId="0" fontId="108" fillId="8" borderId="47" xfId="0" applyFont="1" applyFill="1" applyBorder="1" applyAlignment="1">
      <alignment horizontal="center" vertical="center" wrapText="1"/>
    </xf>
    <xf numFmtId="0" fontId="108" fillId="8" borderId="48" xfId="0" applyFont="1" applyFill="1" applyBorder="1" applyAlignment="1">
      <alignment horizontal="center" vertical="center" wrapText="1"/>
    </xf>
    <xf numFmtId="169" fontId="132" fillId="9" borderId="52" xfId="0" applyNumberFormat="1" applyFont="1" applyFill="1" applyBorder="1" applyAlignment="1">
      <alignment horizontal="center" vertical="center"/>
    </xf>
    <xf numFmtId="169" fontId="132" fillId="9" borderId="53" xfId="0" applyNumberFormat="1" applyFont="1" applyFill="1" applyBorder="1" applyAlignment="1">
      <alignment horizontal="center" vertical="center"/>
    </xf>
    <xf numFmtId="3" fontId="108" fillId="9" borderId="52" xfId="0" applyNumberFormat="1" applyFont="1" applyFill="1" applyBorder="1" applyAlignment="1">
      <alignment horizontal="center" vertical="center"/>
    </xf>
    <xf numFmtId="3" fontId="108" fillId="9" borderId="53" xfId="0" applyNumberFormat="1" applyFont="1" applyFill="1" applyBorder="1" applyAlignment="1">
      <alignment horizontal="center" vertical="center"/>
    </xf>
    <xf numFmtId="0" fontId="109" fillId="9" borderId="54" xfId="0" applyFont="1" applyFill="1" applyBorder="1" applyAlignment="1">
      <alignment wrapText="1"/>
    </xf>
    <xf numFmtId="0" fontId="109" fillId="0" borderId="44" xfId="0" applyFont="1" applyBorder="1" applyAlignment="1">
      <alignment horizontal="center" vertical="center" wrapText="1"/>
    </xf>
    <xf numFmtId="0" fontId="109" fillId="0" borderId="44" xfId="0" applyFont="1" applyBorder="1" applyAlignment="1">
      <alignment horizontal="center" vertical="center"/>
    </xf>
    <xf numFmtId="0" fontId="109" fillId="0" borderId="55" xfId="0" applyFont="1" applyBorder="1" applyAlignment="1">
      <alignment horizontal="left" vertical="center" wrapText="1"/>
    </xf>
    <xf numFmtId="37" fontId="109" fillId="0" borderId="0" xfId="0" applyNumberFormat="1" applyFont="1" applyAlignment="1">
      <alignment horizontal="center" vertical="center"/>
    </xf>
    <xf numFmtId="37" fontId="109" fillId="0" borderId="56" xfId="0" applyNumberFormat="1" applyFont="1" applyBorder="1" applyAlignment="1">
      <alignment horizontal="center" vertical="center"/>
    </xf>
    <xf numFmtId="0" fontId="109" fillId="0" borderId="57" xfId="0" applyFont="1" applyBorder="1" applyAlignment="1">
      <alignment horizontal="center" vertical="center" wrapText="1"/>
    </xf>
    <xf numFmtId="0" fontId="109" fillId="0" borderId="57" xfId="0" applyFont="1" applyBorder="1" applyAlignment="1">
      <alignment horizontal="center" vertical="center"/>
    </xf>
    <xf numFmtId="0" fontId="109" fillId="0" borderId="56" xfId="0" applyFont="1" applyBorder="1" applyAlignment="1">
      <alignment horizontal="left" vertical="center" wrapText="1"/>
    </xf>
    <xf numFmtId="0" fontId="109" fillId="0" borderId="55" xfId="0" applyFont="1" applyBorder="1" applyAlignment="1">
      <alignment horizontal="center" vertical="center" wrapText="1"/>
    </xf>
    <xf numFmtId="0" fontId="109" fillId="0" borderId="56" xfId="0" applyFont="1" applyBorder="1" applyAlignment="1">
      <alignment horizontal="center" vertical="center" wrapText="1"/>
    </xf>
    <xf numFmtId="0" fontId="109" fillId="0" borderId="49" xfId="0" applyFont="1" applyBorder="1" applyAlignment="1">
      <alignment horizontal="center" vertical="center" wrapText="1"/>
    </xf>
    <xf numFmtId="0" fontId="109" fillId="0" borderId="49" xfId="0" applyFont="1" applyBorder="1" applyAlignment="1">
      <alignment horizontal="center" vertical="center"/>
    </xf>
    <xf numFmtId="0" fontId="109" fillId="0" borderId="58" xfId="0" applyFont="1" applyBorder="1" applyAlignment="1">
      <alignment horizontal="center" vertical="center" wrapText="1"/>
    </xf>
    <xf numFmtId="0" fontId="109" fillId="0" borderId="59" xfId="0" applyFont="1" applyBorder="1" applyAlignment="1">
      <alignment horizontal="center" vertical="center" wrapText="1"/>
    </xf>
    <xf numFmtId="37" fontId="109" fillId="0" borderId="58" xfId="0" applyNumberFormat="1" applyFont="1" applyBorder="1" applyAlignment="1">
      <alignment horizontal="center" vertical="center"/>
    </xf>
    <xf numFmtId="37" fontId="109" fillId="0" borderId="60" xfId="0" applyNumberFormat="1" applyFont="1" applyBorder="1" applyAlignment="1">
      <alignment horizontal="center" vertical="center"/>
    </xf>
    <xf numFmtId="0" fontId="109" fillId="0" borderId="0" xfId="0" applyFont="1" applyAlignment="1">
      <alignment wrapText="1"/>
    </xf>
    <xf numFmtId="0" fontId="109" fillId="0" borderId="0" xfId="0" applyFont="1" applyAlignment="1">
      <alignment horizontal="center" wrapText="1"/>
    </xf>
    <xf numFmtId="0" fontId="109" fillId="0" borderId="0" xfId="0" applyFont="1" applyAlignment="1">
      <alignment horizontal="right"/>
    </xf>
    <xf numFmtId="43" fontId="109" fillId="0" borderId="0" xfId="0" applyNumberFormat="1" applyFont="1" applyAlignment="1">
      <alignment horizontal="center"/>
    </xf>
    <xf numFmtId="0" fontId="109" fillId="0" borderId="61" xfId="0" applyFont="1" applyBorder="1" applyAlignment="1">
      <alignment horizontal="right" vertical="center"/>
    </xf>
    <xf numFmtId="0" fontId="109" fillId="0" borderId="61" xfId="0" applyFont="1" applyBorder="1" applyAlignment="1">
      <alignment vertical="center"/>
    </xf>
    <xf numFmtId="0" fontId="109" fillId="7" borderId="61" xfId="0" applyFont="1" applyFill="1" applyBorder="1" applyAlignment="1">
      <alignment horizontal="right" vertical="center" wrapText="1"/>
    </xf>
    <xf numFmtId="0" fontId="109" fillId="0" borderId="61" xfId="0" applyFont="1" applyBorder="1" applyAlignment="1">
      <alignment horizontal="center" vertical="center"/>
    </xf>
    <xf numFmtId="0" fontId="109" fillId="0" borderId="61" xfId="0" applyFont="1" applyBorder="1" applyAlignment="1">
      <alignment horizontal="center" vertical="center" wrapText="1"/>
    </xf>
    <xf numFmtId="0" fontId="109" fillId="0" borderId="0" xfId="0" applyFont="1" applyAlignment="1">
      <alignment horizontal="left"/>
    </xf>
    <xf numFmtId="43" fontId="109" fillId="0" borderId="0" xfId="0" applyNumberFormat="1" applyFont="1"/>
    <xf numFmtId="43" fontId="109" fillId="0" borderId="62" xfId="0" applyNumberFormat="1" applyFont="1" applyBorder="1"/>
    <xf numFmtId="43" fontId="109" fillId="0" borderId="63" xfId="0" applyNumberFormat="1" applyFont="1" applyBorder="1"/>
    <xf numFmtId="177" fontId="109" fillId="0" borderId="64" xfId="0" applyNumberFormat="1" applyFont="1" applyBorder="1"/>
    <xf numFmtId="0" fontId="110" fillId="0" borderId="0" xfId="0" applyFont="1"/>
    <xf numFmtId="178" fontId="110" fillId="0" borderId="0" xfId="0" applyNumberFormat="1" applyFont="1" applyAlignment="1">
      <alignment horizontal="left"/>
    </xf>
    <xf numFmtId="0" fontId="134" fillId="0" borderId="0" xfId="0" applyFont="1" applyAlignment="1">
      <alignment horizontal="center"/>
    </xf>
    <xf numFmtId="49" fontId="110" fillId="0" borderId="0" xfId="0" applyNumberFormat="1" applyFont="1" applyAlignment="1">
      <alignment horizontal="center" vertical="center"/>
    </xf>
    <xf numFmtId="172" fontId="110" fillId="10" borderId="1" xfId="0" applyNumberFormat="1" applyFont="1" applyFill="1" applyBorder="1" applyAlignment="1">
      <alignment horizontal="center" vertical="center"/>
    </xf>
    <xf numFmtId="172" fontId="110" fillId="10" borderId="1" xfId="0" applyNumberFormat="1" applyFont="1" applyFill="1" applyBorder="1" applyAlignment="1">
      <alignment horizontal="center"/>
    </xf>
    <xf numFmtId="175" fontId="110" fillId="0" borderId="0" xfId="0" applyNumberFormat="1" applyFont="1" applyAlignment="1">
      <alignment horizontal="center"/>
    </xf>
    <xf numFmtId="172" fontId="110" fillId="0" borderId="0" xfId="0" applyNumberFormat="1" applyFont="1"/>
    <xf numFmtId="43" fontId="110" fillId="0" borderId="0" xfId="0" applyNumberFormat="1" applyFont="1" applyAlignment="1">
      <alignment horizontal="center"/>
    </xf>
    <xf numFmtId="43" fontId="110" fillId="0" borderId="0" xfId="0" applyNumberFormat="1" applyFont="1"/>
    <xf numFmtId="0" fontId="110" fillId="11" borderId="1" xfId="0" applyFont="1" applyFill="1" applyBorder="1" applyAlignment="1">
      <alignment horizontal="center"/>
    </xf>
    <xf numFmtId="179" fontId="110" fillId="0" borderId="0" xfId="0" applyNumberFormat="1" applyFont="1"/>
    <xf numFmtId="44" fontId="110" fillId="0" borderId="0" xfId="0" applyNumberFormat="1" applyFont="1"/>
    <xf numFmtId="0" fontId="110" fillId="11" borderId="1" xfId="0" applyFont="1" applyFill="1" applyBorder="1" applyAlignment="1">
      <alignment horizontal="right"/>
    </xf>
    <xf numFmtId="43" fontId="110" fillId="11" borderId="1" xfId="0" applyNumberFormat="1" applyFont="1" applyFill="1" applyBorder="1"/>
    <xf numFmtId="0" fontId="110" fillId="10" borderId="1" xfId="0" applyFont="1" applyFill="1" applyBorder="1"/>
    <xf numFmtId="0" fontId="108" fillId="12" borderId="61" xfId="0" applyFont="1" applyFill="1" applyBorder="1" applyAlignment="1">
      <alignment horizontal="center"/>
    </xf>
    <xf numFmtId="0" fontId="108" fillId="12" borderId="65" xfId="0" applyFont="1" applyFill="1" applyBorder="1" applyAlignment="1">
      <alignment horizontal="center"/>
    </xf>
    <xf numFmtId="0" fontId="108" fillId="12" borderId="66" xfId="0" applyFont="1" applyFill="1" applyBorder="1" applyAlignment="1">
      <alignment horizontal="center"/>
    </xf>
    <xf numFmtId="0" fontId="108" fillId="12" borderId="67" xfId="0" applyFont="1" applyFill="1" applyBorder="1" applyAlignment="1">
      <alignment horizontal="center"/>
    </xf>
    <xf numFmtId="0" fontId="108" fillId="12" borderId="68" xfId="0" applyFont="1" applyFill="1" applyBorder="1" applyAlignment="1">
      <alignment horizontal="center"/>
    </xf>
    <xf numFmtId="0" fontId="108" fillId="0" borderId="69" xfId="0" applyFont="1" applyBorder="1"/>
    <xf numFmtId="37" fontId="108" fillId="0" borderId="70" xfId="0" applyNumberFormat="1" applyFont="1" applyBorder="1" applyAlignment="1">
      <alignment horizontal="center"/>
    </xf>
    <xf numFmtId="1" fontId="108" fillId="0" borderId="72" xfId="0" applyNumberFormat="1" applyFont="1" applyBorder="1" applyAlignment="1">
      <alignment horizontal="center"/>
    </xf>
    <xf numFmtId="1" fontId="108" fillId="0" borderId="73" xfId="0" applyNumberFormat="1" applyFont="1" applyBorder="1" applyAlignment="1">
      <alignment horizontal="center"/>
    </xf>
    <xf numFmtId="9" fontId="108" fillId="0" borderId="74" xfId="0" applyNumberFormat="1" applyFont="1" applyBorder="1" applyAlignment="1">
      <alignment horizontal="center"/>
    </xf>
    <xf numFmtId="9" fontId="108" fillId="0" borderId="75" xfId="0" applyNumberFormat="1" applyFont="1" applyBorder="1" applyAlignment="1">
      <alignment horizontal="center"/>
    </xf>
    <xf numFmtId="0" fontId="109" fillId="0" borderId="69" xfId="0" applyFont="1" applyBorder="1"/>
    <xf numFmtId="169" fontId="109" fillId="0" borderId="70" xfId="0" applyNumberFormat="1" applyFont="1" applyBorder="1" applyAlignment="1">
      <alignment horizontal="center"/>
    </xf>
    <xf numFmtId="169" fontId="109" fillId="0" borderId="72" xfId="0" applyNumberFormat="1" applyFont="1" applyBorder="1" applyAlignment="1">
      <alignment horizontal="center"/>
    </xf>
    <xf numFmtId="169" fontId="109" fillId="0" borderId="73" xfId="0" applyNumberFormat="1" applyFont="1" applyBorder="1" applyAlignment="1">
      <alignment horizontal="center"/>
    </xf>
    <xf numFmtId="9" fontId="109" fillId="0" borderId="70" xfId="0" applyNumberFormat="1" applyFont="1" applyBorder="1" applyAlignment="1">
      <alignment horizontal="center"/>
    </xf>
    <xf numFmtId="9" fontId="109" fillId="0" borderId="72" xfId="0" applyNumberFormat="1" applyFont="1" applyBorder="1" applyAlignment="1">
      <alignment horizontal="center"/>
    </xf>
    <xf numFmtId="9" fontId="109" fillId="0" borderId="77" xfId="0" applyNumberFormat="1" applyFont="1" applyBorder="1" applyAlignment="1">
      <alignment horizontal="center"/>
    </xf>
    <xf numFmtId="2" fontId="109" fillId="0" borderId="72" xfId="0" applyNumberFormat="1" applyFont="1" applyBorder="1" applyAlignment="1">
      <alignment horizontal="center"/>
    </xf>
    <xf numFmtId="2" fontId="109" fillId="0" borderId="73" xfId="0" applyNumberFormat="1" applyFont="1" applyBorder="1" applyAlignment="1">
      <alignment horizontal="center"/>
    </xf>
    <xf numFmtId="9" fontId="109" fillId="0" borderId="73" xfId="0" applyNumberFormat="1" applyFont="1" applyBorder="1" applyAlignment="1">
      <alignment horizontal="center"/>
    </xf>
    <xf numFmtId="0" fontId="108" fillId="0" borderId="78" xfId="0" applyFont="1" applyBorder="1"/>
    <xf numFmtId="0" fontId="109" fillId="0" borderId="79" xfId="0" applyFont="1" applyBorder="1"/>
    <xf numFmtId="169" fontId="109" fillId="0" borderId="80" xfId="0" applyNumberFormat="1" applyFont="1" applyBorder="1" applyAlignment="1">
      <alignment horizontal="center"/>
    </xf>
    <xf numFmtId="169" fontId="109" fillId="0" borderId="81" xfId="0" applyNumberFormat="1" applyFont="1" applyBorder="1" applyAlignment="1">
      <alignment horizontal="center"/>
    </xf>
    <xf numFmtId="9" fontId="109" fillId="0" borderId="80" xfId="0" applyNumberFormat="1" applyFont="1" applyBorder="1" applyAlignment="1">
      <alignment horizontal="center"/>
    </xf>
    <xf numFmtId="9" fontId="109" fillId="0" borderId="82" xfId="0" applyNumberFormat="1" applyFont="1" applyBorder="1" applyAlignment="1">
      <alignment horizontal="center"/>
    </xf>
    <xf numFmtId="0" fontId="109" fillId="0" borderId="69" xfId="0" applyFont="1" applyBorder="1" applyAlignment="1">
      <alignment horizontal="left"/>
    </xf>
    <xf numFmtId="0" fontId="109" fillId="0" borderId="70" xfId="0" applyFont="1" applyBorder="1" applyAlignment="1">
      <alignment horizontal="center"/>
    </xf>
    <xf numFmtId="0" fontId="109" fillId="0" borderId="83" xfId="0" applyFont="1" applyBorder="1" applyAlignment="1">
      <alignment horizontal="left"/>
    </xf>
    <xf numFmtId="169" fontId="109" fillId="0" borderId="84" xfId="0" applyNumberFormat="1" applyFont="1" applyBorder="1" applyAlignment="1">
      <alignment horizontal="center"/>
    </xf>
    <xf numFmtId="169" fontId="109" fillId="0" borderId="86" xfId="0" applyNumberFormat="1" applyFont="1" applyBorder="1" applyAlignment="1">
      <alignment horizontal="center"/>
    </xf>
    <xf numFmtId="169" fontId="109" fillId="0" borderId="87" xfId="0" applyNumberFormat="1" applyFont="1" applyBorder="1" applyAlignment="1">
      <alignment horizontal="center"/>
    </xf>
    <xf numFmtId="9" fontId="109" fillId="0" borderId="86" xfId="0" applyNumberFormat="1" applyFont="1" applyBorder="1" applyAlignment="1">
      <alignment horizontal="center"/>
    </xf>
    <xf numFmtId="9" fontId="109" fillId="0" borderId="88" xfId="0" applyNumberFormat="1" applyFont="1" applyBorder="1" applyAlignment="1">
      <alignment horizontal="center"/>
    </xf>
    <xf numFmtId="169" fontId="109" fillId="0" borderId="0" xfId="0" applyNumberFormat="1" applyFont="1"/>
    <xf numFmtId="0" fontId="108" fillId="14" borderId="61" xfId="0" applyFont="1" applyFill="1" applyBorder="1" applyAlignment="1">
      <alignment horizontal="center"/>
    </xf>
    <xf numFmtId="0" fontId="108" fillId="14" borderId="65" xfId="0" applyFont="1" applyFill="1" applyBorder="1" applyAlignment="1">
      <alignment horizontal="center"/>
    </xf>
    <xf numFmtId="0" fontId="108" fillId="14" borderId="66" xfId="0" applyFont="1" applyFill="1" applyBorder="1" applyAlignment="1">
      <alignment horizontal="center"/>
    </xf>
    <xf numFmtId="0" fontId="108" fillId="14" borderId="68" xfId="0" applyFont="1" applyFill="1" applyBorder="1" applyAlignment="1">
      <alignment horizontal="center"/>
    </xf>
    <xf numFmtId="0" fontId="108" fillId="15" borderId="61" xfId="0" applyFont="1" applyFill="1" applyBorder="1" applyAlignment="1">
      <alignment horizontal="center"/>
    </xf>
    <xf numFmtId="179" fontId="109" fillId="0" borderId="70" xfId="0" applyNumberFormat="1" applyFont="1" applyBorder="1" applyAlignment="1">
      <alignment horizontal="center"/>
    </xf>
    <xf numFmtId="0" fontId="108" fillId="9" borderId="61" xfId="0" applyFont="1" applyFill="1" applyBorder="1" applyAlignment="1">
      <alignment horizontal="center"/>
    </xf>
    <xf numFmtId="0" fontId="108" fillId="9" borderId="65" xfId="0" applyFont="1" applyFill="1" applyBorder="1" applyAlignment="1">
      <alignment horizontal="center"/>
    </xf>
    <xf numFmtId="0" fontId="108" fillId="9" borderId="66" xfId="0" applyFont="1" applyFill="1" applyBorder="1" applyAlignment="1">
      <alignment horizontal="center"/>
    </xf>
    <xf numFmtId="0" fontId="108" fillId="9" borderId="68" xfId="0" applyFont="1" applyFill="1" applyBorder="1" applyAlignment="1">
      <alignment horizontal="center"/>
    </xf>
    <xf numFmtId="169" fontId="108" fillId="0" borderId="70" xfId="0" applyNumberFormat="1" applyFont="1" applyBorder="1" applyAlignment="1">
      <alignment horizontal="center"/>
    </xf>
    <xf numFmtId="169" fontId="108" fillId="0" borderId="72" xfId="0" applyNumberFormat="1" applyFont="1" applyBorder="1" applyAlignment="1">
      <alignment horizontal="center"/>
    </xf>
    <xf numFmtId="169" fontId="108" fillId="0" borderId="73" xfId="0" applyNumberFormat="1" applyFont="1" applyBorder="1" applyAlignment="1">
      <alignment horizontal="center"/>
    </xf>
    <xf numFmtId="9" fontId="108" fillId="0" borderId="72" xfId="0" applyNumberFormat="1" applyFont="1" applyBorder="1" applyAlignment="1">
      <alignment horizontal="center"/>
    </xf>
    <xf numFmtId="9" fontId="108" fillId="0" borderId="77" xfId="0" applyNumberFormat="1" applyFont="1" applyBorder="1" applyAlignment="1">
      <alignment horizontal="center"/>
    </xf>
    <xf numFmtId="0" fontId="109" fillId="0" borderId="83" xfId="0" applyFont="1" applyBorder="1"/>
    <xf numFmtId="0" fontId="108" fillId="8" borderId="61" xfId="0" applyFont="1" applyFill="1" applyBorder="1" applyAlignment="1">
      <alignment horizontal="center"/>
    </xf>
    <xf numFmtId="0" fontId="108" fillId="8" borderId="65" xfId="0" applyFont="1" applyFill="1" applyBorder="1" applyAlignment="1">
      <alignment horizontal="center"/>
    </xf>
    <xf numFmtId="0" fontId="108" fillId="8" borderId="66" xfId="0" applyFont="1" applyFill="1" applyBorder="1" applyAlignment="1">
      <alignment horizontal="center"/>
    </xf>
    <xf numFmtId="0" fontId="108" fillId="8" borderId="68" xfId="0" applyFont="1" applyFill="1" applyBorder="1" applyAlignment="1">
      <alignment horizontal="center"/>
    </xf>
    <xf numFmtId="0" fontId="108" fillId="16" borderId="61" xfId="0" applyFont="1" applyFill="1" applyBorder="1" applyAlignment="1">
      <alignment horizontal="center"/>
    </xf>
    <xf numFmtId="0" fontId="108" fillId="0" borderId="69" xfId="0" applyFont="1" applyBorder="1" applyAlignment="1">
      <alignment horizontal="left"/>
    </xf>
    <xf numFmtId="0" fontId="108" fillId="17" borderId="61" xfId="0" applyFont="1" applyFill="1" applyBorder="1" applyAlignment="1">
      <alignment horizontal="center"/>
    </xf>
    <xf numFmtId="0" fontId="108" fillId="17" borderId="65" xfId="0" applyFont="1" applyFill="1" applyBorder="1" applyAlignment="1">
      <alignment horizontal="center"/>
    </xf>
    <xf numFmtId="0" fontId="108" fillId="17" borderId="66" xfId="0" applyFont="1" applyFill="1" applyBorder="1" applyAlignment="1">
      <alignment horizontal="center"/>
    </xf>
    <xf numFmtId="0" fontId="108" fillId="17" borderId="68" xfId="0" applyFont="1" applyFill="1" applyBorder="1" applyAlignment="1">
      <alignment horizontal="center"/>
    </xf>
    <xf numFmtId="0" fontId="108" fillId="18" borderId="89" xfId="0" applyFont="1" applyFill="1" applyBorder="1" applyAlignment="1">
      <alignment horizontal="center"/>
    </xf>
    <xf numFmtId="1" fontId="109" fillId="0" borderId="70" xfId="0" applyNumberFormat="1" applyFont="1" applyBorder="1" applyAlignment="1">
      <alignment horizontal="center"/>
    </xf>
    <xf numFmtId="1" fontId="109" fillId="0" borderId="72" xfId="0" applyNumberFormat="1" applyFont="1" applyBorder="1" applyAlignment="1">
      <alignment horizontal="center"/>
    </xf>
    <xf numFmtId="1" fontId="109" fillId="0" borderId="73" xfId="0" applyNumberFormat="1" applyFont="1" applyBorder="1" applyAlignment="1">
      <alignment horizontal="center"/>
    </xf>
    <xf numFmtId="0" fontId="108" fillId="19" borderId="61" xfId="0" applyFont="1" applyFill="1" applyBorder="1" applyAlignment="1">
      <alignment horizontal="center"/>
    </xf>
    <xf numFmtId="0" fontId="108" fillId="19" borderId="65" xfId="0" applyFont="1" applyFill="1" applyBorder="1" applyAlignment="1">
      <alignment horizontal="center"/>
    </xf>
    <xf numFmtId="0" fontId="108" fillId="19" borderId="66" xfId="0" applyFont="1" applyFill="1" applyBorder="1" applyAlignment="1">
      <alignment horizontal="center"/>
    </xf>
    <xf numFmtId="0" fontId="108" fillId="19" borderId="68" xfId="0" applyFont="1" applyFill="1" applyBorder="1" applyAlignment="1">
      <alignment horizontal="center"/>
    </xf>
    <xf numFmtId="0" fontId="108" fillId="20" borderId="61" xfId="0" applyFont="1" applyFill="1" applyBorder="1" applyAlignment="1">
      <alignment horizontal="center"/>
    </xf>
    <xf numFmtId="169" fontId="109" fillId="0" borderId="74" xfId="0" applyNumberFormat="1" applyFont="1" applyBorder="1" applyAlignment="1">
      <alignment horizontal="center"/>
    </xf>
    <xf numFmtId="169" fontId="109" fillId="0" borderId="91" xfId="0" applyNumberFormat="1" applyFont="1" applyBorder="1" applyAlignment="1">
      <alignment horizontal="center"/>
    </xf>
    <xf numFmtId="175" fontId="109" fillId="0" borderId="70" xfId="0" applyNumberFormat="1" applyFont="1" applyBorder="1" applyAlignment="1">
      <alignment horizontal="center"/>
    </xf>
    <xf numFmtId="175" fontId="109" fillId="0" borderId="84" xfId="0" applyNumberFormat="1" applyFont="1" applyBorder="1" applyAlignment="1">
      <alignment horizontal="center"/>
    </xf>
    <xf numFmtId="2" fontId="109" fillId="0" borderId="86" xfId="0" applyNumberFormat="1" applyFont="1" applyBorder="1" applyAlignment="1">
      <alignment horizontal="center"/>
    </xf>
    <xf numFmtId="2" fontId="109" fillId="0" borderId="87" xfId="0" applyNumberFormat="1" applyFont="1" applyBorder="1" applyAlignment="1">
      <alignment horizontal="center"/>
    </xf>
    <xf numFmtId="0" fontId="108" fillId="0" borderId="0" xfId="0" applyFont="1" applyAlignment="1">
      <alignment horizontal="left"/>
    </xf>
    <xf numFmtId="0" fontId="113" fillId="0" borderId="0" xfId="0" applyFont="1" applyAlignment="1">
      <alignment horizontal="center" vertical="center"/>
    </xf>
    <xf numFmtId="0" fontId="118" fillId="0" borderId="0" xfId="0" applyFont="1" applyAlignment="1">
      <alignment horizontal="left" vertical="center"/>
    </xf>
    <xf numFmtId="3" fontId="113" fillId="0" borderId="0" xfId="0" applyNumberFormat="1" applyFont="1"/>
    <xf numFmtId="0" fontId="118" fillId="0" borderId="0" xfId="0" applyFont="1" applyAlignment="1">
      <alignment horizontal="center"/>
    </xf>
    <xf numFmtId="0" fontId="137" fillId="21" borderId="10" xfId="0" applyFont="1" applyFill="1" applyBorder="1"/>
    <xf numFmtId="0" fontId="138" fillId="21" borderId="11" xfId="0" applyFont="1" applyFill="1" applyBorder="1"/>
    <xf numFmtId="0" fontId="119" fillId="0" borderId="3" xfId="0" applyFont="1" applyBorder="1"/>
    <xf numFmtId="0" fontId="139" fillId="21" borderId="20" xfId="0" applyFont="1" applyFill="1" applyBorder="1"/>
    <xf numFmtId="10" fontId="139" fillId="21" borderId="21" xfId="0" applyNumberFormat="1" applyFont="1" applyFill="1" applyBorder="1"/>
    <xf numFmtId="0" fontId="119" fillId="0" borderId="6" xfId="0" applyFont="1" applyBorder="1"/>
    <xf numFmtId="3" fontId="119" fillId="0" borderId="92" xfId="0" applyNumberFormat="1" applyFont="1" applyBorder="1" applyAlignment="1">
      <alignment horizontal="center"/>
    </xf>
    <xf numFmtId="3" fontId="119" fillId="0" borderId="0" xfId="0" applyNumberFormat="1" applyFont="1" applyAlignment="1">
      <alignment horizontal="center"/>
    </xf>
    <xf numFmtId="3" fontId="119" fillId="0" borderId="9" xfId="0" applyNumberFormat="1" applyFont="1" applyBorder="1" applyAlignment="1">
      <alignment horizontal="center"/>
    </xf>
    <xf numFmtId="3" fontId="119" fillId="0" borderId="8" xfId="0" applyNumberFormat="1" applyFont="1" applyBorder="1" applyAlignment="1">
      <alignment horizontal="center"/>
    </xf>
    <xf numFmtId="0" fontId="119" fillId="0" borderId="93" xfId="0" applyFont="1" applyBorder="1"/>
    <xf numFmtId="3" fontId="119" fillId="0" borderId="14" xfId="0" applyNumberFormat="1" applyFont="1" applyBorder="1" applyAlignment="1">
      <alignment horizontal="center"/>
    </xf>
    <xf numFmtId="3" fontId="119" fillId="0" borderId="5" xfId="0" applyNumberFormat="1" applyFont="1" applyBorder="1"/>
    <xf numFmtId="3" fontId="119" fillId="0" borderId="14" xfId="0" applyNumberFormat="1" applyFont="1" applyBorder="1" applyAlignment="1">
      <alignment horizontal="right"/>
    </xf>
    <xf numFmtId="3" fontId="119" fillId="0" borderId="14" xfId="0" applyNumberFormat="1" applyFont="1" applyBorder="1"/>
    <xf numFmtId="3" fontId="119" fillId="0" borderId="93" xfId="0" applyNumberFormat="1" applyFont="1" applyBorder="1" applyAlignment="1">
      <alignment horizontal="center"/>
    </xf>
    <xf numFmtId="3" fontId="119" fillId="0" borderId="5" xfId="0" applyNumberFormat="1" applyFont="1" applyBorder="1" applyAlignment="1">
      <alignment horizontal="center"/>
    </xf>
    <xf numFmtId="0" fontId="119" fillId="0" borderId="8" xfId="0" applyFont="1" applyBorder="1"/>
    <xf numFmtId="3" fontId="119" fillId="0" borderId="0" xfId="0" applyNumberFormat="1" applyFont="1"/>
    <xf numFmtId="3" fontId="119" fillId="0" borderId="8" xfId="0" applyNumberFormat="1" applyFont="1" applyBorder="1"/>
    <xf numFmtId="3" fontId="119" fillId="0" borderId="9" xfId="0" applyNumberFormat="1" applyFont="1" applyBorder="1"/>
    <xf numFmtId="0" fontId="138" fillId="21" borderId="12" xfId="0" applyFont="1" applyFill="1" applyBorder="1"/>
    <xf numFmtId="10" fontId="139" fillId="21" borderId="13" xfId="0" applyNumberFormat="1" applyFont="1" applyFill="1" applyBorder="1"/>
    <xf numFmtId="0" fontId="112" fillId="0" borderId="6" xfId="0" applyFont="1" applyBorder="1"/>
    <xf numFmtId="3" fontId="112" fillId="0" borderId="92" xfId="0" applyNumberFormat="1" applyFont="1" applyBorder="1"/>
    <xf numFmtId="3" fontId="112" fillId="0" borderId="7" xfId="0" applyNumberFormat="1" applyFont="1" applyBorder="1"/>
    <xf numFmtId="3" fontId="112" fillId="0" borderId="6" xfId="0" applyNumberFormat="1" applyFont="1" applyBorder="1"/>
    <xf numFmtId="0" fontId="119" fillId="0" borderId="9" xfId="0" applyFont="1" applyBorder="1"/>
    <xf numFmtId="175" fontId="112" fillId="0" borderId="8" xfId="0" applyNumberFormat="1" applyFont="1" applyBorder="1"/>
    <xf numFmtId="175" fontId="112" fillId="0" borderId="9" xfId="0" applyNumberFormat="1" applyFont="1" applyBorder="1"/>
    <xf numFmtId="0" fontId="112" fillId="0" borderId="93" xfId="0" applyFont="1" applyBorder="1"/>
    <xf numFmtId="3" fontId="119" fillId="0" borderId="93" xfId="0" applyNumberFormat="1" applyFont="1" applyBorder="1"/>
    <xf numFmtId="3" fontId="112" fillId="0" borderId="93" xfId="0" applyNumberFormat="1" applyFont="1" applyBorder="1"/>
    <xf numFmtId="3" fontId="112" fillId="0" borderId="14" xfId="0" applyNumberFormat="1" applyFont="1" applyBorder="1"/>
    <xf numFmtId="0" fontId="112" fillId="0" borderId="8" xfId="0" applyFont="1" applyBorder="1"/>
    <xf numFmtId="3" fontId="119" fillId="0" borderId="92" xfId="0" applyNumberFormat="1" applyFont="1" applyBorder="1"/>
    <xf numFmtId="3" fontId="119" fillId="0" borderId="7" xfId="0" applyNumberFormat="1" applyFont="1" applyBorder="1"/>
    <xf numFmtId="3" fontId="119" fillId="0" borderId="6" xfId="0" applyNumberFormat="1" applyFont="1" applyBorder="1"/>
    <xf numFmtId="43" fontId="119" fillId="0" borderId="0" xfId="0" applyNumberFormat="1" applyFont="1"/>
    <xf numFmtId="3" fontId="112" fillId="0" borderId="8" xfId="0" applyNumberFormat="1" applyFont="1" applyBorder="1"/>
    <xf numFmtId="37" fontId="119" fillId="0" borderId="9" xfId="0" applyNumberFormat="1" applyFont="1" applyBorder="1"/>
    <xf numFmtId="37" fontId="119" fillId="0" borderId="8" xfId="0" applyNumberFormat="1" applyFont="1" applyBorder="1"/>
    <xf numFmtId="0" fontId="112" fillId="3" borderId="10" xfId="0" applyFont="1" applyFill="1" applyBorder="1"/>
    <xf numFmtId="37" fontId="112" fillId="3" borderId="26" xfId="0" applyNumberFormat="1" applyFont="1" applyFill="1" applyBorder="1"/>
    <xf numFmtId="3" fontId="112" fillId="3" borderId="26" xfId="0" applyNumberFormat="1" applyFont="1" applyFill="1" applyBorder="1"/>
    <xf numFmtId="37" fontId="112" fillId="3" borderId="11" xfId="0" applyNumberFormat="1" applyFont="1" applyFill="1" applyBorder="1"/>
    <xf numFmtId="37" fontId="112" fillId="3" borderId="10" xfId="0" applyNumberFormat="1" applyFont="1" applyFill="1" applyBorder="1"/>
    <xf numFmtId="0" fontId="112" fillId="3" borderId="12" xfId="0" applyFont="1" applyFill="1" applyBorder="1"/>
    <xf numFmtId="0" fontId="112" fillId="3" borderId="27" xfId="0" applyFont="1" applyFill="1" applyBorder="1"/>
    <xf numFmtId="0" fontId="112" fillId="3" borderId="13" xfId="0" applyFont="1" applyFill="1" applyBorder="1"/>
    <xf numFmtId="175" fontId="112" fillId="3" borderId="12" xfId="0" applyNumberFormat="1" applyFont="1" applyFill="1" applyBorder="1"/>
    <xf numFmtId="175" fontId="112" fillId="3" borderId="13" xfId="0" applyNumberFormat="1" applyFont="1" applyFill="1" applyBorder="1"/>
    <xf numFmtId="0" fontId="112" fillId="0" borderId="9" xfId="0" applyFont="1" applyBorder="1"/>
    <xf numFmtId="0" fontId="112" fillId="0" borderId="8" xfId="0" applyFont="1" applyBorder="1" applyAlignment="1">
      <alignment horizontal="left"/>
    </xf>
    <xf numFmtId="175" fontId="119" fillId="0" borderId="0" xfId="0" applyNumberFormat="1" applyFont="1" applyAlignment="1">
      <alignment horizontal="right"/>
    </xf>
    <xf numFmtId="37" fontId="119" fillId="0" borderId="0" xfId="0" applyNumberFormat="1" applyFont="1"/>
    <xf numFmtId="175" fontId="119" fillId="0" borderId="8" xfId="0" applyNumberFormat="1" applyFont="1" applyBorder="1"/>
    <xf numFmtId="175" fontId="119" fillId="0" borderId="14" xfId="0" applyNumberFormat="1" applyFont="1" applyBorder="1" applyAlignment="1">
      <alignment horizontal="right"/>
    </xf>
    <xf numFmtId="37" fontId="119" fillId="0" borderId="14" xfId="0" applyNumberFormat="1" applyFont="1" applyBorder="1"/>
    <xf numFmtId="175" fontId="119" fillId="0" borderId="93" xfId="0" applyNumberFormat="1" applyFont="1" applyBorder="1"/>
    <xf numFmtId="37" fontId="119" fillId="0" borderId="5" xfId="0" applyNumberFormat="1" applyFont="1" applyBorder="1"/>
    <xf numFmtId="0" fontId="119" fillId="0" borderId="0" xfId="0" applyFont="1" applyAlignment="1">
      <alignment horizontal="right"/>
    </xf>
    <xf numFmtId="0" fontId="119" fillId="0" borderId="8" xfId="0" applyFont="1" applyBorder="1" applyAlignment="1">
      <alignment horizontal="right"/>
    </xf>
    <xf numFmtId="0" fontId="119" fillId="0" borderId="14" xfId="0" applyFont="1" applyBorder="1" applyAlignment="1">
      <alignment horizontal="right"/>
    </xf>
    <xf numFmtId="0" fontId="119" fillId="0" borderId="93" xfId="0" applyFont="1" applyBorder="1" applyAlignment="1">
      <alignment horizontal="right"/>
    </xf>
    <xf numFmtId="3" fontId="119" fillId="0" borderId="94" xfId="0" applyNumberFormat="1" applyFont="1" applyBorder="1"/>
    <xf numFmtId="3" fontId="119" fillId="0" borderId="55" xfId="0" applyNumberFormat="1" applyFont="1" applyBorder="1"/>
    <xf numFmtId="3" fontId="119" fillId="0" borderId="96" xfId="0" applyNumberFormat="1" applyFont="1" applyBorder="1"/>
    <xf numFmtId="0" fontId="112" fillId="3" borderId="28" xfId="0" applyFont="1" applyFill="1" applyBorder="1"/>
    <xf numFmtId="0" fontId="112" fillId="3" borderId="29" xfId="0" applyFont="1" applyFill="1" applyBorder="1" applyAlignment="1">
      <alignment horizontal="center"/>
    </xf>
    <xf numFmtId="175" fontId="112" fillId="3" borderId="29" xfId="0" applyNumberFormat="1" applyFont="1" applyFill="1" applyBorder="1"/>
    <xf numFmtId="37" fontId="112" fillId="3" borderId="30" xfId="0" applyNumberFormat="1" applyFont="1" applyFill="1" applyBorder="1"/>
    <xf numFmtId="0" fontId="112" fillId="3" borderId="28" xfId="0" applyFont="1" applyFill="1" applyBorder="1" applyAlignment="1">
      <alignment horizontal="center"/>
    </xf>
    <xf numFmtId="0" fontId="119" fillId="3" borderId="31" xfId="0" applyFont="1" applyFill="1" applyBorder="1"/>
    <xf numFmtId="37" fontId="112" fillId="3" borderId="29" xfId="0" applyNumberFormat="1" applyFont="1" applyFill="1" applyBorder="1"/>
    <xf numFmtId="0" fontId="119" fillId="3" borderId="28" xfId="0" applyFont="1" applyFill="1" applyBorder="1"/>
    <xf numFmtId="0" fontId="120" fillId="0" borderId="8" xfId="0" applyFont="1" applyBorder="1"/>
    <xf numFmtId="0" fontId="120" fillId="0" borderId="93" xfId="0" applyFont="1" applyBorder="1"/>
    <xf numFmtId="0" fontId="119" fillId="0" borderId="92" xfId="0" applyFont="1" applyBorder="1" applyAlignment="1">
      <alignment horizontal="right"/>
    </xf>
    <xf numFmtId="0" fontId="119" fillId="0" borderId="92" xfId="0" applyFont="1" applyBorder="1"/>
    <xf numFmtId="0" fontId="119" fillId="0" borderId="6" xfId="0" applyFont="1" applyBorder="1" applyAlignment="1">
      <alignment horizontal="right"/>
    </xf>
    <xf numFmtId="37" fontId="119" fillId="0" borderId="7" xfId="0" applyNumberFormat="1" applyFont="1" applyBorder="1"/>
    <xf numFmtId="0" fontId="119" fillId="0" borderId="14" xfId="0" applyFont="1" applyBorder="1"/>
    <xf numFmtId="37" fontId="112" fillId="0" borderId="0" xfId="0" applyNumberFormat="1" applyFont="1"/>
    <xf numFmtId="37" fontId="112" fillId="3" borderId="24" xfId="0" applyNumberFormat="1" applyFont="1" applyFill="1" applyBorder="1"/>
    <xf numFmtId="0" fontId="119" fillId="10" borderId="1" xfId="0" applyFont="1" applyFill="1" applyBorder="1"/>
    <xf numFmtId="1" fontId="119" fillId="0" borderId="8" xfId="0" applyNumberFormat="1" applyFont="1" applyBorder="1"/>
    <xf numFmtId="172" fontId="119" fillId="0" borderId="0" xfId="0" applyNumberFormat="1" applyFont="1"/>
    <xf numFmtId="0" fontId="112" fillId="6" borderId="20" xfId="0" applyFont="1" applyFill="1" applyBorder="1"/>
    <xf numFmtId="0" fontId="119" fillId="6" borderId="1" xfId="0" applyFont="1" applyFill="1" applyBorder="1"/>
    <xf numFmtId="0" fontId="112" fillId="6" borderId="1" xfId="0" applyFont="1" applyFill="1" applyBorder="1"/>
    <xf numFmtId="37" fontId="112" fillId="6" borderId="21" xfId="0" applyNumberFormat="1" applyFont="1" applyFill="1" applyBorder="1"/>
    <xf numFmtId="0" fontId="119" fillId="6" borderId="20" xfId="0" applyFont="1" applyFill="1" applyBorder="1"/>
    <xf numFmtId="0" fontId="119" fillId="6" borderId="22" xfId="0" applyFont="1" applyFill="1" applyBorder="1"/>
    <xf numFmtId="0" fontId="119" fillId="6" borderId="23" xfId="0" applyFont="1" applyFill="1" applyBorder="1"/>
    <xf numFmtId="37" fontId="112" fillId="6" borderId="24" xfId="0" applyNumberFormat="1" applyFont="1" applyFill="1" applyBorder="1"/>
    <xf numFmtId="0" fontId="112" fillId="3" borderId="34" xfId="0" applyFont="1" applyFill="1" applyBorder="1"/>
    <xf numFmtId="0" fontId="119" fillId="3" borderId="35" xfId="0" applyFont="1" applyFill="1" applyBorder="1"/>
    <xf numFmtId="0" fontId="112" fillId="3" borderId="35" xfId="0" applyFont="1" applyFill="1" applyBorder="1"/>
    <xf numFmtId="37" fontId="112" fillId="3" borderId="36" xfId="0" applyNumberFormat="1" applyFont="1" applyFill="1" applyBorder="1"/>
    <xf numFmtId="0" fontId="119" fillId="3" borderId="34" xfId="0" applyFont="1" applyFill="1" applyBorder="1"/>
    <xf numFmtId="1" fontId="121" fillId="0" borderId="0" xfId="0" applyNumberFormat="1" applyFont="1"/>
    <xf numFmtId="37" fontId="121" fillId="0" borderId="0" xfId="0" applyNumberFormat="1" applyFont="1"/>
    <xf numFmtId="0" fontId="140" fillId="22" borderId="1" xfId="0" applyFont="1" applyFill="1" applyBorder="1"/>
    <xf numFmtId="0" fontId="119" fillId="0" borderId="9" xfId="0" applyFont="1" applyBorder="1" applyAlignment="1">
      <alignment horizontal="center"/>
    </xf>
    <xf numFmtId="0" fontId="119" fillId="0" borderId="8" xfId="0" applyFont="1" applyBorder="1" applyAlignment="1">
      <alignment horizontal="center"/>
    </xf>
    <xf numFmtId="0" fontId="119" fillId="0" borderId="93" xfId="0" applyFont="1" applyBorder="1" applyAlignment="1">
      <alignment horizontal="center"/>
    </xf>
    <xf numFmtId="0" fontId="119" fillId="0" borderId="5" xfId="0" applyFont="1" applyBorder="1" applyAlignment="1">
      <alignment horizontal="center"/>
    </xf>
    <xf numFmtId="0" fontId="141" fillId="0" borderId="0" xfId="0" applyFont="1"/>
    <xf numFmtId="175" fontId="122" fillId="0" borderId="8" xfId="0" applyNumberFormat="1" applyFont="1" applyBorder="1"/>
    <xf numFmtId="175" fontId="122" fillId="0" borderId="9" xfId="0" applyNumberFormat="1" applyFont="1" applyBorder="1"/>
    <xf numFmtId="39" fontId="119" fillId="0" borderId="0" xfId="0" applyNumberFormat="1" applyFont="1"/>
    <xf numFmtId="3" fontId="112" fillId="0" borderId="5" xfId="0" applyNumberFormat="1" applyFont="1" applyBorder="1"/>
    <xf numFmtId="174" fontId="119" fillId="0" borderId="0" xfId="0" applyNumberFormat="1" applyFont="1"/>
    <xf numFmtId="174" fontId="112" fillId="3" borderId="26" xfId="0" applyNumberFormat="1" applyFont="1" applyFill="1" applyBorder="1"/>
    <xf numFmtId="9" fontId="112" fillId="3" borderId="12" xfId="0" applyNumberFormat="1" applyFont="1" applyFill="1" applyBorder="1"/>
    <xf numFmtId="175" fontId="112" fillId="9" borderId="13" xfId="0" applyNumberFormat="1" applyFont="1" applyFill="1" applyBorder="1"/>
    <xf numFmtId="175" fontId="119" fillId="0" borderId="0" xfId="0" applyNumberFormat="1" applyFont="1"/>
    <xf numFmtId="175" fontId="119" fillId="0" borderId="14" xfId="0" applyNumberFormat="1" applyFont="1" applyBorder="1"/>
    <xf numFmtId="0" fontId="119" fillId="3" borderId="22" xfId="0" applyFont="1" applyFill="1" applyBorder="1"/>
    <xf numFmtId="0" fontId="112" fillId="0" borderId="0" xfId="0" applyFont="1" applyAlignment="1">
      <alignment horizontal="center"/>
    </xf>
    <xf numFmtId="175" fontId="112" fillId="0" borderId="0" xfId="0" applyNumberFormat="1" applyFont="1"/>
    <xf numFmtId="0" fontId="112" fillId="0" borderId="8" xfId="0" applyFont="1" applyBorder="1" applyAlignment="1">
      <alignment horizontal="center"/>
    </xf>
    <xf numFmtId="1" fontId="119" fillId="0" borderId="0" xfId="0" applyNumberFormat="1" applyFont="1"/>
    <xf numFmtId="0" fontId="119" fillId="3" borderId="35" xfId="0" applyFont="1" applyFill="1" applyBorder="1" applyAlignment="1">
      <alignment horizontal="right"/>
    </xf>
    <xf numFmtId="0" fontId="119" fillId="3" borderId="34" xfId="0" applyFont="1" applyFill="1" applyBorder="1" applyAlignment="1">
      <alignment horizontal="right"/>
    </xf>
    <xf numFmtId="175" fontId="119" fillId="0" borderId="9" xfId="0" applyNumberFormat="1" applyFont="1" applyBorder="1"/>
    <xf numFmtId="39" fontId="119" fillId="0" borderId="14" xfId="0" applyNumberFormat="1" applyFont="1" applyBorder="1" applyAlignment="1">
      <alignment horizontal="center"/>
    </xf>
    <xf numFmtId="175" fontId="119" fillId="0" borderId="5" xfId="0" applyNumberFormat="1" applyFont="1" applyBorder="1"/>
    <xf numFmtId="37" fontId="119" fillId="0" borderId="93" xfId="0" applyNumberFormat="1" applyFont="1" applyBorder="1"/>
    <xf numFmtId="37" fontId="119" fillId="0" borderId="92" xfId="0" applyNumberFormat="1" applyFont="1" applyBorder="1"/>
    <xf numFmtId="37" fontId="119" fillId="0" borderId="6" xfId="0" applyNumberFormat="1" applyFont="1" applyBorder="1"/>
    <xf numFmtId="10" fontId="119" fillId="0" borderId="0" xfId="0" applyNumberFormat="1" applyFont="1"/>
    <xf numFmtId="175" fontId="112" fillId="0" borderId="93" xfId="0" applyNumberFormat="1" applyFont="1" applyBorder="1"/>
    <xf numFmtId="175" fontId="112" fillId="0" borderId="5" xfId="0" applyNumberFormat="1" applyFont="1" applyBorder="1"/>
    <xf numFmtId="175" fontId="119" fillId="0" borderId="6" xfId="0" applyNumberFormat="1" applyFont="1" applyBorder="1"/>
    <xf numFmtId="174" fontId="112" fillId="0" borderId="0" xfId="0" applyNumberFormat="1" applyFont="1"/>
    <xf numFmtId="37" fontId="112" fillId="0" borderId="8" xfId="0" applyNumberFormat="1" applyFont="1" applyBorder="1"/>
    <xf numFmtId="37" fontId="112" fillId="0" borderId="9" xfId="0" applyNumberFormat="1" applyFont="1" applyBorder="1"/>
    <xf numFmtId="0" fontId="112" fillId="0" borderId="14" xfId="0" applyFont="1" applyBorder="1"/>
    <xf numFmtId="174" fontId="112" fillId="0" borderId="14" xfId="0" applyNumberFormat="1" applyFont="1" applyBorder="1"/>
    <xf numFmtId="37" fontId="112" fillId="0" borderId="93" xfId="0" applyNumberFormat="1" applyFont="1" applyBorder="1"/>
    <xf numFmtId="37" fontId="112" fillId="0" borderId="5" xfId="0" applyNumberFormat="1" applyFont="1" applyBorder="1"/>
    <xf numFmtId="37" fontId="119" fillId="0" borderId="97" xfId="0" applyNumberFormat="1" applyFont="1" applyBorder="1"/>
    <xf numFmtId="0" fontId="112" fillId="6" borderId="10" xfId="0" applyFont="1" applyFill="1" applyBorder="1"/>
    <xf numFmtId="37" fontId="112" fillId="6" borderId="26" xfId="0" applyNumberFormat="1" applyFont="1" applyFill="1" applyBorder="1"/>
    <xf numFmtId="37" fontId="112" fillId="6" borderId="11" xfId="0" applyNumberFormat="1" applyFont="1" applyFill="1" applyBorder="1"/>
    <xf numFmtId="37" fontId="112" fillId="6" borderId="10" xfId="0" applyNumberFormat="1" applyFont="1" applyFill="1" applyBorder="1"/>
    <xf numFmtId="175" fontId="112" fillId="6" borderId="10" xfId="0" applyNumberFormat="1" applyFont="1" applyFill="1" applyBorder="1"/>
    <xf numFmtId="0" fontId="112" fillId="6" borderId="22" xfId="0" applyFont="1" applyFill="1" applyBorder="1"/>
    <xf numFmtId="37" fontId="112" fillId="6" borderId="23" xfId="0" applyNumberFormat="1" applyFont="1" applyFill="1" applyBorder="1"/>
    <xf numFmtId="39" fontId="112" fillId="6" borderId="23" xfId="0" applyNumberFormat="1" applyFont="1" applyFill="1" applyBorder="1" applyAlignment="1">
      <alignment horizontal="center"/>
    </xf>
    <xf numFmtId="175" fontId="112" fillId="6" borderId="24" xfId="0" applyNumberFormat="1" applyFont="1" applyFill="1" applyBorder="1"/>
    <xf numFmtId="37" fontId="112" fillId="6" borderId="22" xfId="0" applyNumberFormat="1" applyFont="1" applyFill="1" applyBorder="1"/>
    <xf numFmtId="37" fontId="112" fillId="0" borderId="92" xfId="0" applyNumberFormat="1" applyFont="1" applyBorder="1"/>
    <xf numFmtId="174" fontId="112" fillId="0" borderId="92" xfId="0" applyNumberFormat="1" applyFont="1" applyBorder="1"/>
    <xf numFmtId="37" fontId="112" fillId="0" borderId="7" xfId="0" applyNumberFormat="1" applyFont="1" applyBorder="1"/>
    <xf numFmtId="37" fontId="112" fillId="0" borderId="6" xfId="0" applyNumberFormat="1" applyFont="1" applyBorder="1"/>
    <xf numFmtId="0" fontId="112" fillId="6" borderId="19" xfId="0" applyFont="1" applyFill="1" applyBorder="1"/>
    <xf numFmtId="37" fontId="112" fillId="6" borderId="15" xfId="0" applyNumberFormat="1" applyFont="1" applyFill="1" applyBorder="1"/>
    <xf numFmtId="174" fontId="112" fillId="6" borderId="15" xfId="0" applyNumberFormat="1" applyFont="1" applyFill="1" applyBorder="1"/>
    <xf numFmtId="37" fontId="112" fillId="6" borderId="25" xfId="0" applyNumberFormat="1" applyFont="1" applyFill="1" applyBorder="1"/>
    <xf numFmtId="37" fontId="112" fillId="6" borderId="19" xfId="0" applyNumberFormat="1" applyFont="1" applyFill="1" applyBorder="1"/>
    <xf numFmtId="175" fontId="112" fillId="3" borderId="10" xfId="0" applyNumberFormat="1" applyFont="1" applyFill="1" applyBorder="1"/>
    <xf numFmtId="37" fontId="119" fillId="0" borderId="0" xfId="0" applyNumberFormat="1" applyFont="1" applyAlignment="1">
      <alignment horizontal="center"/>
    </xf>
    <xf numFmtId="0" fontId="119" fillId="0" borderId="14" xfId="0" applyFont="1" applyBorder="1" applyAlignment="1">
      <alignment horizontal="center"/>
    </xf>
    <xf numFmtId="1" fontId="119" fillId="0" borderId="6" xfId="0" applyNumberFormat="1" applyFont="1" applyBorder="1"/>
    <xf numFmtId="174" fontId="119" fillId="0" borderId="14" xfId="0" applyNumberFormat="1" applyFont="1" applyBorder="1"/>
    <xf numFmtId="2" fontId="119" fillId="0" borderId="14" xfId="0" applyNumberFormat="1" applyFont="1" applyBorder="1"/>
    <xf numFmtId="10" fontId="112" fillId="3" borderId="10" xfId="0" applyNumberFormat="1" applyFont="1" applyFill="1" applyBorder="1"/>
    <xf numFmtId="0" fontId="120" fillId="0" borderId="6" xfId="0" applyFont="1" applyBorder="1"/>
    <xf numFmtId="175" fontId="112" fillId="0" borderId="92" xfId="0" applyNumberFormat="1" applyFont="1" applyBorder="1"/>
    <xf numFmtId="175" fontId="112" fillId="0" borderId="6" xfId="0" applyNumberFormat="1" applyFont="1" applyBorder="1"/>
    <xf numFmtId="0" fontId="119" fillId="0" borderId="5" xfId="0" applyFont="1" applyBorder="1"/>
    <xf numFmtId="175" fontId="112" fillId="3" borderId="26" xfId="0" applyNumberFormat="1" applyFont="1" applyFill="1" applyBorder="1"/>
    <xf numFmtId="175" fontId="112" fillId="3" borderId="16" xfId="0" applyNumberFormat="1" applyFont="1" applyFill="1" applyBorder="1"/>
    <xf numFmtId="37" fontId="112" fillId="3" borderId="18" xfId="0" applyNumberFormat="1" applyFont="1" applyFill="1" applyBorder="1"/>
    <xf numFmtId="37" fontId="112" fillId="3" borderId="35" xfId="0" applyNumberFormat="1" applyFont="1" applyFill="1" applyBorder="1"/>
    <xf numFmtId="174" fontId="112" fillId="3" borderId="35" xfId="0" applyNumberFormat="1" applyFont="1" applyFill="1" applyBorder="1"/>
    <xf numFmtId="37" fontId="112" fillId="3" borderId="34" xfId="0" applyNumberFormat="1" applyFont="1" applyFill="1" applyBorder="1"/>
    <xf numFmtId="0" fontId="119" fillId="3" borderId="12" xfId="0" applyFont="1" applyFill="1" applyBorder="1"/>
    <xf numFmtId="6" fontId="119" fillId="0" borderId="0" xfId="0" applyNumberFormat="1" applyFont="1"/>
    <xf numFmtId="0" fontId="119" fillId="0" borderId="98" xfId="0" applyFont="1" applyBorder="1" applyAlignment="1">
      <alignment horizontal="center"/>
    </xf>
    <xf numFmtId="0" fontId="119" fillId="0" borderId="99" xfId="0" applyFont="1" applyBorder="1" applyAlignment="1">
      <alignment horizontal="center"/>
    </xf>
    <xf numFmtId="0" fontId="119" fillId="0" borderId="97" xfId="0" applyFont="1" applyBorder="1" applyAlignment="1">
      <alignment horizontal="center"/>
    </xf>
    <xf numFmtId="37" fontId="119" fillId="9" borderId="1" xfId="0" applyNumberFormat="1" applyFont="1" applyFill="1" applyBorder="1"/>
    <xf numFmtId="175" fontId="112" fillId="3" borderId="1" xfId="0" applyNumberFormat="1" applyFont="1" applyFill="1" applyBorder="1"/>
    <xf numFmtId="37" fontId="119" fillId="9" borderId="18" xfId="0" applyNumberFormat="1" applyFont="1" applyFill="1" applyBorder="1"/>
    <xf numFmtId="3" fontId="119" fillId="9" borderId="16" xfId="0" applyNumberFormat="1" applyFont="1" applyFill="1" applyBorder="1"/>
    <xf numFmtId="3" fontId="119" fillId="9" borderId="18" xfId="0" applyNumberFormat="1" applyFont="1" applyFill="1" applyBorder="1"/>
    <xf numFmtId="0" fontId="142" fillId="0" borderId="0" xfId="0" applyFont="1"/>
    <xf numFmtId="175" fontId="112" fillId="0" borderId="100" xfId="0" applyNumberFormat="1" applyFont="1" applyBorder="1"/>
    <xf numFmtId="0" fontId="112" fillId="3" borderId="37" xfId="0" applyFont="1" applyFill="1" applyBorder="1"/>
    <xf numFmtId="0" fontId="112" fillId="3" borderId="38" xfId="0" applyFont="1" applyFill="1" applyBorder="1"/>
    <xf numFmtId="37" fontId="112" fillId="3" borderId="39" xfId="0" applyNumberFormat="1" applyFont="1" applyFill="1" applyBorder="1"/>
    <xf numFmtId="0" fontId="119" fillId="3" borderId="37" xfId="0" applyFont="1" applyFill="1" applyBorder="1"/>
    <xf numFmtId="0" fontId="119" fillId="3" borderId="38" xfId="0" applyFont="1" applyFill="1" applyBorder="1"/>
    <xf numFmtId="0" fontId="143" fillId="23" borderId="1" xfId="0" applyFont="1" applyFill="1" applyBorder="1"/>
    <xf numFmtId="0" fontId="122" fillId="0" borderId="0" xfId="0" applyFont="1" applyAlignment="1">
      <alignment horizontal="center" vertical="center"/>
    </xf>
    <xf numFmtId="0" fontId="119" fillId="0" borderId="101" xfId="0" applyFont="1" applyBorder="1" applyAlignment="1">
      <alignment horizontal="left"/>
    </xf>
    <xf numFmtId="0" fontId="112" fillId="0" borderId="102" xfId="0" applyFont="1" applyBorder="1" applyAlignment="1">
      <alignment horizontal="center" vertical="center"/>
    </xf>
    <xf numFmtId="0" fontId="119" fillId="0" borderId="87" xfId="0" applyFont="1" applyBorder="1" applyAlignment="1">
      <alignment horizontal="center"/>
    </xf>
    <xf numFmtId="0" fontId="119" fillId="0" borderId="85" xfId="0" applyFont="1" applyBorder="1" applyAlignment="1">
      <alignment horizontal="center"/>
    </xf>
    <xf numFmtId="0" fontId="119" fillId="0" borderId="106" xfId="0" applyFont="1" applyBorder="1" applyAlignment="1">
      <alignment horizontal="center"/>
    </xf>
    <xf numFmtId="0" fontId="120" fillId="0" borderId="14" xfId="0" applyFont="1" applyBorder="1"/>
    <xf numFmtId="37" fontId="120" fillId="0" borderId="87" xfId="0" applyNumberFormat="1" applyFont="1" applyBorder="1"/>
    <xf numFmtId="37" fontId="120" fillId="0" borderId="85" xfId="0" applyNumberFormat="1" applyFont="1" applyBorder="1"/>
    <xf numFmtId="37" fontId="120" fillId="0" borderId="14" xfId="0" applyNumberFormat="1" applyFont="1" applyBorder="1"/>
    <xf numFmtId="175" fontId="120" fillId="0" borderId="14" xfId="0" applyNumberFormat="1" applyFont="1" applyBorder="1"/>
    <xf numFmtId="37" fontId="120" fillId="0" borderId="106" xfId="0" applyNumberFormat="1" applyFont="1" applyBorder="1"/>
    <xf numFmtId="175" fontId="120" fillId="0" borderId="5" xfId="0" applyNumberFormat="1" applyFont="1" applyBorder="1"/>
    <xf numFmtId="0" fontId="122" fillId="3" borderId="22" xfId="0" applyFont="1" applyFill="1" applyBorder="1"/>
    <xf numFmtId="0" fontId="122" fillId="3" borderId="23" xfId="0" applyFont="1" applyFill="1" applyBorder="1"/>
    <xf numFmtId="37" fontId="122" fillId="3" borderId="107" xfId="0" applyNumberFormat="1" applyFont="1" applyFill="1" applyBorder="1"/>
    <xf numFmtId="37" fontId="122" fillId="3" borderId="108" xfId="0" applyNumberFormat="1" applyFont="1" applyFill="1" applyBorder="1"/>
    <xf numFmtId="37" fontId="122" fillId="3" borderId="23" xfId="0" applyNumberFormat="1" applyFont="1" applyFill="1" applyBorder="1"/>
    <xf numFmtId="175" fontId="122" fillId="3" borderId="23" xfId="0" applyNumberFormat="1" applyFont="1" applyFill="1" applyBorder="1"/>
    <xf numFmtId="37" fontId="122" fillId="3" borderId="109" xfId="0" applyNumberFormat="1" applyFont="1" applyFill="1" applyBorder="1"/>
    <xf numFmtId="175" fontId="122" fillId="3" borderId="24" xfId="0" applyNumberFormat="1" applyFont="1" applyFill="1" applyBorder="1"/>
    <xf numFmtId="0" fontId="122" fillId="0" borderId="8" xfId="0" applyFont="1" applyBorder="1"/>
    <xf numFmtId="0" fontId="120" fillId="0" borderId="0" xfId="0" applyFont="1"/>
    <xf numFmtId="37" fontId="120" fillId="0" borderId="73" xfId="0" applyNumberFormat="1" applyFont="1" applyBorder="1"/>
    <xf numFmtId="37" fontId="120" fillId="0" borderId="71" xfId="0" applyNumberFormat="1" applyFont="1" applyBorder="1"/>
    <xf numFmtId="37" fontId="120" fillId="0" borderId="0" xfId="0" applyNumberFormat="1" applyFont="1"/>
    <xf numFmtId="175" fontId="120" fillId="0" borderId="0" xfId="0" applyNumberFormat="1" applyFont="1"/>
    <xf numFmtId="37" fontId="120" fillId="0" borderId="56" xfId="0" applyNumberFormat="1" applyFont="1" applyBorder="1"/>
    <xf numFmtId="175" fontId="120" fillId="0" borderId="7" xfId="0" applyNumberFormat="1" applyFont="1" applyBorder="1"/>
    <xf numFmtId="0" fontId="120" fillId="0" borderId="0" xfId="0" applyFont="1" applyAlignment="1">
      <alignment horizontal="right"/>
    </xf>
    <xf numFmtId="174" fontId="120" fillId="0" borderId="0" xfId="0" applyNumberFormat="1" applyFont="1"/>
    <xf numFmtId="0" fontId="120" fillId="0" borderId="71" xfId="0" applyFont="1" applyBorder="1"/>
    <xf numFmtId="175" fontId="120" fillId="0" borderId="9" xfId="0" applyNumberFormat="1" applyFont="1" applyBorder="1"/>
    <xf numFmtId="0" fontId="120" fillId="0" borderId="14" xfId="0" applyFont="1" applyBorder="1" applyAlignment="1">
      <alignment horizontal="right"/>
    </xf>
    <xf numFmtId="174" fontId="120" fillId="0" borderId="14" xfId="0" applyNumberFormat="1" applyFont="1" applyBorder="1"/>
    <xf numFmtId="0" fontId="120" fillId="0" borderId="85" xfId="0" applyFont="1" applyBorder="1"/>
    <xf numFmtId="175" fontId="120" fillId="0" borderId="87" xfId="0" applyNumberFormat="1" applyFont="1" applyBorder="1"/>
    <xf numFmtId="0" fontId="122" fillId="3" borderId="28" xfId="0" applyFont="1" applyFill="1" applyBorder="1"/>
    <xf numFmtId="0" fontId="122" fillId="3" borderId="29" xfId="0" applyFont="1" applyFill="1" applyBorder="1"/>
    <xf numFmtId="175" fontId="122" fillId="3" borderId="29" xfId="0" applyNumberFormat="1" applyFont="1" applyFill="1" applyBorder="1"/>
    <xf numFmtId="37" fontId="122" fillId="3" borderId="68" xfId="0" applyNumberFormat="1" applyFont="1" applyFill="1" applyBorder="1"/>
    <xf numFmtId="175" fontId="122" fillId="3" borderId="31" xfId="0" applyNumberFormat="1" applyFont="1" applyFill="1" applyBorder="1"/>
    <xf numFmtId="0" fontId="122" fillId="3" borderId="31" xfId="0" applyFont="1" applyFill="1" applyBorder="1"/>
    <xf numFmtId="37" fontId="122" fillId="3" borderId="29" xfId="0" applyNumberFormat="1" applyFont="1" applyFill="1" applyBorder="1"/>
    <xf numFmtId="0" fontId="122" fillId="3" borderId="112" xfId="0" applyFont="1" applyFill="1" applyBorder="1"/>
    <xf numFmtId="175" fontId="120" fillId="0" borderId="73" xfId="0" applyNumberFormat="1" applyFont="1" applyBorder="1"/>
    <xf numFmtId="174" fontId="122" fillId="3" borderId="29" xfId="0" applyNumberFormat="1" applyFont="1" applyFill="1" applyBorder="1"/>
    <xf numFmtId="37" fontId="122" fillId="3" borderId="31" xfId="0" applyNumberFormat="1" applyFont="1" applyFill="1" applyBorder="1"/>
    <xf numFmtId="37" fontId="122" fillId="3" borderId="112" xfId="0" applyNumberFormat="1" applyFont="1" applyFill="1" applyBorder="1"/>
    <xf numFmtId="0" fontId="120" fillId="0" borderId="92" xfId="0" applyFont="1" applyBorder="1" applyAlignment="1">
      <alignment horizontal="right"/>
    </xf>
    <xf numFmtId="0" fontId="120" fillId="0" borderId="92" xfId="0" applyFont="1" applyBorder="1"/>
    <xf numFmtId="37" fontId="120" fillId="0" borderId="91" xfId="0" applyNumberFormat="1" applyFont="1" applyBorder="1"/>
    <xf numFmtId="0" fontId="120" fillId="0" borderId="90" xfId="0" applyFont="1" applyBorder="1"/>
    <xf numFmtId="174" fontId="120" fillId="0" borderId="92" xfId="0" applyNumberFormat="1" applyFont="1" applyBorder="1"/>
    <xf numFmtId="37" fontId="120" fillId="0" borderId="92" xfId="0" applyNumberFormat="1" applyFont="1" applyBorder="1"/>
    <xf numFmtId="175" fontId="120" fillId="0" borderId="92" xfId="0" applyNumberFormat="1" applyFont="1" applyBorder="1"/>
    <xf numFmtId="37" fontId="120" fillId="0" borderId="113" xfId="0" applyNumberFormat="1" applyFont="1" applyBorder="1"/>
    <xf numFmtId="9" fontId="110" fillId="0" borderId="0" xfId="0" applyNumberFormat="1" applyFont="1"/>
    <xf numFmtId="37" fontId="120" fillId="0" borderId="90" xfId="0" applyNumberFormat="1" applyFont="1" applyBorder="1"/>
    <xf numFmtId="0" fontId="120" fillId="3" borderId="29" xfId="0" applyFont="1" applyFill="1" applyBorder="1"/>
    <xf numFmtId="3" fontId="122" fillId="3" borderId="29" xfId="0" applyNumberFormat="1" applyFont="1" applyFill="1" applyBorder="1" applyAlignment="1">
      <alignment horizontal="center"/>
    </xf>
    <xf numFmtId="175" fontId="122" fillId="3" borderId="30" xfId="0" applyNumberFormat="1" applyFont="1" applyFill="1" applyBorder="1"/>
    <xf numFmtId="175" fontId="122" fillId="0" borderId="0" xfId="0" applyNumberFormat="1" applyFont="1"/>
    <xf numFmtId="0" fontId="122" fillId="0" borderId="0" xfId="0" applyFont="1"/>
    <xf numFmtId="175" fontId="120" fillId="0" borderId="91" xfId="0" applyNumberFormat="1" applyFont="1" applyBorder="1"/>
    <xf numFmtId="0" fontId="120" fillId="0" borderId="73" xfId="0" applyFont="1" applyBorder="1"/>
    <xf numFmtId="0" fontId="120" fillId="0" borderId="56" xfId="0" applyFont="1" applyBorder="1"/>
    <xf numFmtId="175" fontId="120" fillId="0" borderId="114" xfId="0" applyNumberFormat="1" applyFont="1" applyBorder="1"/>
    <xf numFmtId="175" fontId="122" fillId="0" borderId="92" xfId="0" applyNumberFormat="1" applyFont="1" applyBorder="1"/>
    <xf numFmtId="0" fontId="122" fillId="0" borderId="92" xfId="0" applyFont="1" applyBorder="1"/>
    <xf numFmtId="175" fontId="122" fillId="0" borderId="90" xfId="0" applyNumberFormat="1" applyFont="1" applyBorder="1"/>
    <xf numFmtId="37" fontId="122" fillId="0" borderId="90" xfId="0" applyNumberFormat="1" applyFont="1" applyBorder="1"/>
    <xf numFmtId="37" fontId="120" fillId="0" borderId="94" xfId="0" applyNumberFormat="1" applyFont="1" applyBorder="1"/>
    <xf numFmtId="37" fontId="122" fillId="0" borderId="92" xfId="0" applyNumberFormat="1" applyFont="1" applyBorder="1"/>
    <xf numFmtId="37" fontId="122" fillId="0" borderId="0" xfId="0" applyNumberFormat="1" applyFont="1"/>
    <xf numFmtId="1" fontId="122" fillId="0" borderId="0" xfId="0" applyNumberFormat="1" applyFont="1"/>
    <xf numFmtId="37" fontId="122" fillId="0" borderId="71" xfId="0" applyNumberFormat="1" applyFont="1" applyBorder="1"/>
    <xf numFmtId="175" fontId="122" fillId="0" borderId="71" xfId="0" applyNumberFormat="1" applyFont="1" applyBorder="1"/>
    <xf numFmtId="37" fontId="120" fillId="0" borderId="55" xfId="0" applyNumberFormat="1" applyFont="1" applyBorder="1"/>
    <xf numFmtId="43" fontId="122" fillId="0" borderId="71" xfId="0" applyNumberFormat="1" applyFont="1" applyBorder="1"/>
    <xf numFmtId="175" fontId="120" fillId="3" borderId="31" xfId="0" applyNumberFormat="1" applyFont="1" applyFill="1" applyBorder="1"/>
    <xf numFmtId="175" fontId="120" fillId="3" borderId="29" xfId="0" applyNumberFormat="1" applyFont="1" applyFill="1" applyBorder="1"/>
    <xf numFmtId="37" fontId="120" fillId="3" borderId="112" xfId="0" applyNumberFormat="1" applyFont="1" applyFill="1" applyBorder="1"/>
    <xf numFmtId="0" fontId="122" fillId="6" borderId="19" xfId="0" applyFont="1" applyFill="1" applyBorder="1"/>
    <xf numFmtId="0" fontId="122" fillId="6" borderId="15" xfId="0" applyFont="1" applyFill="1" applyBorder="1"/>
    <xf numFmtId="37" fontId="122" fillId="6" borderId="15" xfId="0" applyNumberFormat="1" applyFont="1" applyFill="1" applyBorder="1"/>
    <xf numFmtId="37" fontId="120" fillId="6" borderId="115" xfId="0" applyNumberFormat="1" applyFont="1" applyFill="1" applyBorder="1"/>
    <xf numFmtId="0" fontId="120" fillId="6" borderId="15" xfId="0" applyFont="1" applyFill="1" applyBorder="1"/>
    <xf numFmtId="37" fontId="120" fillId="6" borderId="15" xfId="0" applyNumberFormat="1" applyFont="1" applyFill="1" applyBorder="1"/>
    <xf numFmtId="37" fontId="120" fillId="6" borderId="116" xfId="0" applyNumberFormat="1" applyFont="1" applyFill="1" applyBorder="1"/>
    <xf numFmtId="37" fontId="120" fillId="6" borderId="1" xfId="0" applyNumberFormat="1" applyFont="1" applyFill="1" applyBorder="1"/>
    <xf numFmtId="175" fontId="120" fillId="6" borderId="1" xfId="0" applyNumberFormat="1" applyFont="1" applyFill="1" applyBorder="1"/>
    <xf numFmtId="175" fontId="120" fillId="6" borderId="116" xfId="0" applyNumberFormat="1" applyFont="1" applyFill="1" applyBorder="1"/>
    <xf numFmtId="175" fontId="120" fillId="6" borderId="15" xfId="0" applyNumberFormat="1" applyFont="1" applyFill="1" applyBorder="1"/>
    <xf numFmtId="37" fontId="120" fillId="6" borderId="117" xfId="0" applyNumberFormat="1" applyFont="1" applyFill="1" applyBorder="1"/>
    <xf numFmtId="175" fontId="120" fillId="0" borderId="99" xfId="0" applyNumberFormat="1" applyFont="1" applyBorder="1"/>
    <xf numFmtId="0" fontId="122" fillId="3" borderId="37" xfId="0" applyFont="1" applyFill="1" applyBorder="1"/>
    <xf numFmtId="0" fontId="122" fillId="3" borderId="38" xfId="0" applyFont="1" applyFill="1" applyBorder="1"/>
    <xf numFmtId="0" fontId="122" fillId="3" borderId="38" xfId="0" applyFont="1" applyFill="1" applyBorder="1" applyAlignment="1">
      <alignment horizontal="center"/>
    </xf>
    <xf numFmtId="175" fontId="122" fillId="3" borderId="38" xfId="0" applyNumberFormat="1" applyFont="1" applyFill="1" applyBorder="1"/>
    <xf numFmtId="37" fontId="122" fillId="3" borderId="118" xfId="0" applyNumberFormat="1" applyFont="1" applyFill="1" applyBorder="1"/>
    <xf numFmtId="37" fontId="122" fillId="3" borderId="38" xfId="0" applyNumberFormat="1" applyFont="1" applyFill="1" applyBorder="1"/>
    <xf numFmtId="37" fontId="122" fillId="3" borderId="119" xfId="0" applyNumberFormat="1" applyFont="1" applyFill="1" applyBorder="1"/>
    <xf numFmtId="175" fontId="122" fillId="3" borderId="120" xfId="0" applyNumberFormat="1" applyFont="1" applyFill="1" applyBorder="1"/>
    <xf numFmtId="0" fontId="122" fillId="3" borderId="119" xfId="0" applyFont="1" applyFill="1" applyBorder="1" applyAlignment="1">
      <alignment horizontal="center"/>
    </xf>
    <xf numFmtId="37" fontId="122" fillId="3" borderId="121" xfId="0" applyNumberFormat="1" applyFont="1" applyFill="1" applyBorder="1"/>
    <xf numFmtId="175" fontId="122" fillId="3" borderId="13" xfId="0" applyNumberFormat="1" applyFont="1" applyFill="1" applyBorder="1"/>
    <xf numFmtId="39" fontId="120" fillId="0" borderId="0" xfId="0" applyNumberFormat="1" applyFont="1"/>
    <xf numFmtId="0" fontId="113" fillId="0" borderId="0" xfId="0" applyFont="1" applyAlignment="1">
      <alignment horizontal="right" vertical="center"/>
    </xf>
    <xf numFmtId="37" fontId="122" fillId="3" borderId="122" xfId="0" applyNumberFormat="1" applyFont="1" applyFill="1" applyBorder="1"/>
    <xf numFmtId="37" fontId="122" fillId="3" borderId="123" xfId="0" applyNumberFormat="1" applyFont="1" applyFill="1" applyBorder="1"/>
    <xf numFmtId="37" fontId="122" fillId="3" borderId="124" xfId="0" applyNumberFormat="1" applyFont="1" applyFill="1" applyBorder="1"/>
    <xf numFmtId="175" fontId="122" fillId="3" borderId="125" xfId="0" applyNumberFormat="1" applyFont="1" applyFill="1" applyBorder="1"/>
    <xf numFmtId="0" fontId="118" fillId="0" borderId="8" xfId="0" applyFont="1" applyBorder="1"/>
    <xf numFmtId="37" fontId="118" fillId="0" borderId="73" xfId="0" applyNumberFormat="1" applyFont="1" applyBorder="1"/>
    <xf numFmtId="0" fontId="118" fillId="0" borderId="73" xfId="0" applyFont="1" applyBorder="1"/>
    <xf numFmtId="0" fontId="118" fillId="0" borderId="55" xfId="0" applyFont="1" applyBorder="1"/>
    <xf numFmtId="0" fontId="118" fillId="0" borderId="56" xfId="0" applyFont="1" applyBorder="1"/>
    <xf numFmtId="0" fontId="118" fillId="0" borderId="9" xfId="0" applyFont="1" applyBorder="1"/>
    <xf numFmtId="175" fontId="122" fillId="3" borderId="39" xfId="0" applyNumberFormat="1" applyFont="1" applyFill="1" applyBorder="1"/>
    <xf numFmtId="178" fontId="118" fillId="0" borderId="0" xfId="0" applyNumberFormat="1" applyFont="1" applyAlignment="1">
      <alignment horizontal="right"/>
    </xf>
    <xf numFmtId="43" fontId="118" fillId="0" borderId="0" xfId="0" applyNumberFormat="1" applyFont="1"/>
    <xf numFmtId="0" fontId="144" fillId="22" borderId="1" xfId="0" applyFont="1" applyFill="1" applyBorder="1"/>
    <xf numFmtId="0" fontId="109" fillId="0" borderId="61" xfId="0" applyFont="1" applyBorder="1" applyAlignment="1">
      <alignment horizontal="center"/>
    </xf>
    <xf numFmtId="0" fontId="109" fillId="0" borderId="61" xfId="0" applyFont="1" applyBorder="1"/>
    <xf numFmtId="1" fontId="108" fillId="2" borderId="1" xfId="0" applyNumberFormat="1" applyFont="1" applyFill="1" applyBorder="1" applyAlignment="1">
      <alignment horizontal="right"/>
    </xf>
    <xf numFmtId="166" fontId="108" fillId="2" borderId="1" xfId="0" applyNumberFormat="1" applyFont="1" applyFill="1" applyBorder="1"/>
    <xf numFmtId="166" fontId="108" fillId="0" borderId="0" xfId="0" applyNumberFormat="1" applyFont="1"/>
    <xf numFmtId="175" fontId="108" fillId="0" borderId="0" xfId="0" applyNumberFormat="1" applyFont="1" applyAlignment="1">
      <alignment horizontal="center"/>
    </xf>
    <xf numFmtId="3" fontId="108" fillId="2" borderId="1" xfId="0" applyNumberFormat="1" applyFont="1" applyFill="1" applyBorder="1" applyAlignment="1">
      <alignment horizontal="right"/>
    </xf>
    <xf numFmtId="1" fontId="109" fillId="2" borderId="1" xfId="0" applyNumberFormat="1" applyFont="1" applyFill="1" applyBorder="1" applyAlignment="1">
      <alignment horizontal="right"/>
    </xf>
    <xf numFmtId="166" fontId="109" fillId="2" borderId="1" xfId="0" applyNumberFormat="1" applyFont="1" applyFill="1" applyBorder="1"/>
    <xf numFmtId="166" fontId="109" fillId="0" borderId="0" xfId="0" applyNumberFormat="1" applyFont="1"/>
    <xf numFmtId="175" fontId="109" fillId="0" borderId="0" xfId="0" applyNumberFormat="1" applyFont="1" applyAlignment="1">
      <alignment horizontal="center"/>
    </xf>
    <xf numFmtId="3" fontId="109" fillId="2" borderId="1" xfId="0" applyNumberFormat="1" applyFont="1" applyFill="1" applyBorder="1" applyAlignment="1">
      <alignment horizontal="right"/>
    </xf>
    <xf numFmtId="1" fontId="109" fillId="0" borderId="126" xfId="0" applyNumberFormat="1" applyFont="1" applyBorder="1" applyAlignment="1">
      <alignment horizontal="right"/>
    </xf>
    <xf numFmtId="166" fontId="109" fillId="0" borderId="126" xfId="0" applyNumberFormat="1" applyFont="1" applyBorder="1"/>
    <xf numFmtId="166" fontId="145" fillId="0" borderId="126" xfId="0" applyNumberFormat="1" applyFont="1" applyBorder="1"/>
    <xf numFmtId="175" fontId="109" fillId="0" borderId="126" xfId="0" applyNumberFormat="1" applyFont="1" applyBorder="1" applyAlignment="1">
      <alignment horizontal="center"/>
    </xf>
    <xf numFmtId="3" fontId="109" fillId="0" borderId="126" xfId="0" applyNumberFormat="1" applyFont="1" applyBorder="1" applyAlignment="1">
      <alignment horizontal="right"/>
    </xf>
    <xf numFmtId="166" fontId="108" fillId="0" borderId="126" xfId="0" applyNumberFormat="1" applyFont="1" applyBorder="1"/>
    <xf numFmtId="175" fontId="146" fillId="0" borderId="0" xfId="0" applyNumberFormat="1" applyFont="1" applyAlignment="1">
      <alignment horizontal="center" vertical="top"/>
    </xf>
    <xf numFmtId="1" fontId="109" fillId="0" borderId="0" xfId="0" applyNumberFormat="1" applyFont="1"/>
    <xf numFmtId="1" fontId="108" fillId="0" borderId="0" xfId="0" applyNumberFormat="1" applyFont="1" applyAlignment="1">
      <alignment horizontal="right"/>
    </xf>
    <xf numFmtId="3" fontId="108" fillId="0" borderId="0" xfId="0" applyNumberFormat="1" applyFont="1" applyAlignment="1">
      <alignment horizontal="right"/>
    </xf>
    <xf numFmtId="1" fontId="109" fillId="0" borderId="0" xfId="0" applyNumberFormat="1" applyFont="1" applyAlignment="1">
      <alignment horizontal="right"/>
    </xf>
    <xf numFmtId="3" fontId="109" fillId="0" borderId="0" xfId="0" applyNumberFormat="1" applyFont="1" applyAlignment="1">
      <alignment horizontal="right"/>
    </xf>
    <xf numFmtId="166" fontId="147" fillId="0" borderId="0" xfId="0" applyNumberFormat="1" applyFont="1" applyAlignment="1">
      <alignment horizontal="center" vertical="center"/>
    </xf>
    <xf numFmtId="0" fontId="109" fillId="0" borderId="61" xfId="0" applyFont="1" applyBorder="1" applyAlignment="1">
      <alignment horizontal="left"/>
    </xf>
    <xf numFmtId="166" fontId="109" fillId="0" borderId="0" xfId="0" applyNumberFormat="1" applyFont="1" applyAlignment="1">
      <alignment horizontal="center"/>
    </xf>
    <xf numFmtId="175" fontId="109" fillId="0" borderId="0" xfId="0" applyNumberFormat="1" applyFont="1" applyAlignment="1">
      <alignment horizontal="right"/>
    </xf>
    <xf numFmtId="0" fontId="109" fillId="0" borderId="130" xfId="0" applyFont="1" applyBorder="1"/>
    <xf numFmtId="0" fontId="109" fillId="0" borderId="63" xfId="0" applyFont="1" applyBorder="1"/>
    <xf numFmtId="0" fontId="109" fillId="0" borderId="131" xfId="0" applyFont="1" applyBorder="1"/>
    <xf numFmtId="1" fontId="109" fillId="0" borderId="0" xfId="0" applyNumberFormat="1" applyFont="1" applyAlignment="1">
      <alignment horizontal="center"/>
    </xf>
    <xf numFmtId="0" fontId="109" fillId="0" borderId="76" xfId="0" applyFont="1" applyBorder="1" applyAlignment="1">
      <alignment horizontal="center"/>
    </xf>
    <xf numFmtId="175" fontId="109" fillId="2" borderId="1" xfId="0" applyNumberFormat="1" applyFont="1" applyFill="1" applyBorder="1" applyAlignment="1">
      <alignment horizontal="center"/>
    </xf>
    <xf numFmtId="166" fontId="109" fillId="0" borderId="62" xfId="0" applyNumberFormat="1" applyFont="1" applyBorder="1"/>
    <xf numFmtId="175" fontId="109" fillId="0" borderId="62" xfId="0" applyNumberFormat="1" applyFont="1" applyBorder="1" applyAlignment="1">
      <alignment horizontal="center"/>
    </xf>
    <xf numFmtId="166" fontId="109" fillId="0" borderId="63" xfId="0" applyNumberFormat="1" applyFont="1" applyBorder="1"/>
    <xf numFmtId="175" fontId="109" fillId="0" borderId="63" xfId="0" applyNumberFormat="1" applyFont="1" applyBorder="1" applyAlignment="1">
      <alignment horizontal="center"/>
    </xf>
    <xf numFmtId="166" fontId="109" fillId="0" borderId="64" xfId="0" applyNumberFormat="1" applyFont="1" applyBorder="1"/>
    <xf numFmtId="175" fontId="109" fillId="0" borderId="64" xfId="0" applyNumberFormat="1" applyFont="1" applyBorder="1" applyAlignment="1">
      <alignment horizontal="center"/>
    </xf>
    <xf numFmtId="3" fontId="109" fillId="0" borderId="0" xfId="0" applyNumberFormat="1" applyFont="1"/>
    <xf numFmtId="175" fontId="109" fillId="0" borderId="0" xfId="0" applyNumberFormat="1" applyFont="1"/>
    <xf numFmtId="10" fontId="110" fillId="0" borderId="0" xfId="0" applyNumberFormat="1" applyFont="1"/>
    <xf numFmtId="0" fontId="148" fillId="0" borderId="0" xfId="0" applyFont="1"/>
    <xf numFmtId="10" fontId="148" fillId="0" borderId="0" xfId="0" applyNumberFormat="1" applyFont="1"/>
    <xf numFmtId="37" fontId="112" fillId="3" borderId="12" xfId="0" applyNumberFormat="1" applyFont="1" applyFill="1" applyBorder="1"/>
    <xf numFmtId="9" fontId="119" fillId="0" borderId="0" xfId="0" applyNumberFormat="1" applyFont="1"/>
    <xf numFmtId="180" fontId="119" fillId="0" borderId="0" xfId="0" applyNumberFormat="1" applyFont="1"/>
    <xf numFmtId="0" fontId="119" fillId="21" borderId="1" xfId="0" applyFont="1" applyFill="1" applyBorder="1"/>
    <xf numFmtId="39" fontId="119" fillId="0" borderId="14" xfId="0" applyNumberFormat="1" applyFont="1" applyBorder="1"/>
    <xf numFmtId="2" fontId="119" fillId="0" borderId="0" xfId="0" applyNumberFormat="1" applyFont="1"/>
    <xf numFmtId="176" fontId="119" fillId="0" borderId="0" xfId="0" applyNumberFormat="1" applyFont="1"/>
    <xf numFmtId="39" fontId="112" fillId="6" borderId="23" xfId="0" applyNumberFormat="1" applyFont="1" applyFill="1" applyBorder="1"/>
    <xf numFmtId="172" fontId="119" fillId="0" borderId="9" xfId="0" applyNumberFormat="1" applyFont="1" applyBorder="1"/>
    <xf numFmtId="39" fontId="112" fillId="0" borderId="0" xfId="0" applyNumberFormat="1" applyFont="1"/>
    <xf numFmtId="175" fontId="118" fillId="0" borderId="0" xfId="0" applyNumberFormat="1" applyFont="1"/>
    <xf numFmtId="3" fontId="118" fillId="0" borderId="0" xfId="0" applyNumberFormat="1" applyFont="1"/>
    <xf numFmtId="4" fontId="118" fillId="0" borderId="0" xfId="0" applyNumberFormat="1" applyFont="1"/>
    <xf numFmtId="9" fontId="118" fillId="0" borderId="0" xfId="0" applyNumberFormat="1" applyFont="1"/>
    <xf numFmtId="2" fontId="110" fillId="0" borderId="0" xfId="0" applyNumberFormat="1" applyFont="1"/>
    <xf numFmtId="0" fontId="122" fillId="10" borderId="52" xfId="0" applyFont="1" applyFill="1" applyBorder="1" applyAlignment="1">
      <alignment horizontal="center"/>
    </xf>
    <xf numFmtId="0" fontId="122" fillId="10" borderId="132" xfId="0" applyFont="1" applyFill="1" applyBorder="1" applyAlignment="1">
      <alignment horizontal="center"/>
    </xf>
    <xf numFmtId="3" fontId="110" fillId="0" borderId="0" xfId="0" applyNumberFormat="1" applyFont="1"/>
    <xf numFmtId="37" fontId="120" fillId="0" borderId="96" xfId="0" applyNumberFormat="1" applyFont="1" applyBorder="1"/>
    <xf numFmtId="37" fontId="122" fillId="3" borderId="133" xfId="0" applyNumberFormat="1" applyFont="1" applyFill="1" applyBorder="1"/>
    <xf numFmtId="37" fontId="120" fillId="0" borderId="134" xfId="0" applyNumberFormat="1" applyFont="1" applyBorder="1"/>
    <xf numFmtId="37" fontId="120" fillId="0" borderId="135" xfId="0" applyNumberFormat="1" applyFont="1" applyBorder="1"/>
    <xf numFmtId="37" fontId="122" fillId="3" borderId="136" xfId="0" applyNumberFormat="1" applyFont="1" applyFill="1" applyBorder="1"/>
    <xf numFmtId="37" fontId="122" fillId="3" borderId="137" xfId="0" applyNumberFormat="1" applyFont="1" applyFill="1" applyBorder="1"/>
    <xf numFmtId="4" fontId="110" fillId="0" borderId="0" xfId="0" applyNumberFormat="1" applyFont="1"/>
    <xf numFmtId="175" fontId="110" fillId="0" borderId="0" xfId="0" applyNumberFormat="1" applyFont="1"/>
    <xf numFmtId="37" fontId="120" fillId="0" borderId="138" xfId="0" applyNumberFormat="1" applyFont="1" applyBorder="1"/>
    <xf numFmtId="172" fontId="118" fillId="0" borderId="0" xfId="0" applyNumberFormat="1" applyFont="1"/>
    <xf numFmtId="0" fontId="120" fillId="0" borderId="134" xfId="0" applyFont="1" applyBorder="1"/>
    <xf numFmtId="0" fontId="120" fillId="0" borderId="55" xfId="0" applyFont="1" applyBorder="1"/>
    <xf numFmtId="37" fontId="120" fillId="6" borderId="139" xfId="0" applyNumberFormat="1" applyFont="1" applyFill="1" applyBorder="1"/>
    <xf numFmtId="39" fontId="120" fillId="0" borderId="56" xfId="0" applyNumberFormat="1" applyFont="1" applyBorder="1"/>
    <xf numFmtId="39" fontId="120" fillId="0" borderId="55" xfId="0" applyNumberFormat="1" applyFont="1" applyBorder="1"/>
    <xf numFmtId="0" fontId="113" fillId="0" borderId="56" xfId="0" applyFont="1" applyBorder="1"/>
    <xf numFmtId="0" fontId="113" fillId="0" borderId="55" xfId="0" applyFont="1" applyBorder="1"/>
    <xf numFmtId="37" fontId="122" fillId="3" borderId="140" xfId="0" applyNumberFormat="1" applyFont="1" applyFill="1" applyBorder="1"/>
    <xf numFmtId="0" fontId="118" fillId="0" borderId="134" xfId="0" applyFont="1" applyBorder="1"/>
    <xf numFmtId="37" fontId="122" fillId="3" borderId="141" xfId="0" applyNumberFormat="1" applyFont="1" applyFill="1" applyBorder="1"/>
    <xf numFmtId="37" fontId="149" fillId="0" borderId="0" xfId="0" applyNumberFormat="1" applyFont="1"/>
    <xf numFmtId="173" fontId="126" fillId="6" borderId="1" xfId="0" applyNumberFormat="1" applyFont="1" applyFill="1" applyBorder="1" applyAlignment="1">
      <alignment horizontal="right"/>
    </xf>
    <xf numFmtId="0" fontId="126" fillId="6" borderId="1" xfId="0" applyFont="1" applyFill="1" applyBorder="1"/>
    <xf numFmtId="9" fontId="118" fillId="6" borderId="1" xfId="0" applyNumberFormat="1" applyFont="1" applyFill="1" applyBorder="1"/>
    <xf numFmtId="0" fontId="125" fillId="6" borderId="1" xfId="0" applyFont="1" applyFill="1" applyBorder="1" applyAlignment="1">
      <alignment horizontal="center"/>
    </xf>
    <xf numFmtId="173" fontId="118" fillId="6" borderId="1" xfId="0" applyNumberFormat="1" applyFont="1" applyFill="1" applyBorder="1" applyAlignment="1">
      <alignment horizontal="center"/>
    </xf>
    <xf numFmtId="0" fontId="150" fillId="6" borderId="1" xfId="0" applyFont="1" applyFill="1" applyBorder="1" applyAlignment="1">
      <alignment horizontal="center"/>
    </xf>
    <xf numFmtId="0" fontId="151" fillId="0" borderId="0" xfId="0" applyFont="1" applyAlignment="1">
      <alignment horizontal="center" vertical="top"/>
    </xf>
    <xf numFmtId="169" fontId="152" fillId="0" borderId="0" xfId="0" applyNumberFormat="1" applyFont="1" applyAlignment="1">
      <alignment horizontal="center" vertical="top"/>
    </xf>
    <xf numFmtId="0" fontId="153" fillId="24" borderId="142" xfId="0" applyFont="1" applyFill="1" applyBorder="1" applyAlignment="1">
      <alignment horizontal="center" vertical="center" wrapText="1"/>
    </xf>
    <xf numFmtId="49" fontId="109" fillId="4" borderId="1" xfId="0" applyNumberFormat="1" applyFont="1" applyFill="1" applyBorder="1" applyAlignment="1">
      <alignment horizontal="left" vertical="center"/>
    </xf>
    <xf numFmtId="0" fontId="109" fillId="4" borderId="1" xfId="0" applyFont="1" applyFill="1" applyBorder="1"/>
    <xf numFmtId="181" fontId="109" fillId="4" borderId="1" xfId="0" applyNumberFormat="1" applyFont="1" applyFill="1" applyBorder="1" applyAlignment="1">
      <alignment horizontal="right" vertical="center"/>
    </xf>
    <xf numFmtId="1" fontId="109" fillId="0" borderId="0" xfId="0" applyNumberFormat="1" applyFont="1" applyAlignment="1">
      <alignment horizontal="left" vertical="top"/>
    </xf>
    <xf numFmtId="49" fontId="109" fillId="0" borderId="0" xfId="0" applyNumberFormat="1" applyFont="1" applyAlignment="1">
      <alignment horizontal="left" vertical="top"/>
    </xf>
    <xf numFmtId="4" fontId="109" fillId="0" borderId="0" xfId="0" applyNumberFormat="1" applyFont="1" applyAlignment="1">
      <alignment horizontal="center" vertical="top"/>
    </xf>
    <xf numFmtId="0" fontId="109" fillId="8" borderId="1" xfId="0" applyFont="1" applyFill="1" applyBorder="1" applyAlignment="1">
      <alignment horizontal="center"/>
    </xf>
    <xf numFmtId="178" fontId="110" fillId="0" borderId="0" xfId="0" applyNumberFormat="1" applyFont="1" applyAlignment="1">
      <alignment horizontal="center"/>
    </xf>
    <xf numFmtId="182" fontId="110" fillId="0" borderId="0" xfId="0" applyNumberFormat="1" applyFont="1" applyAlignment="1">
      <alignment horizontal="center"/>
    </xf>
    <xf numFmtId="169" fontId="109" fillId="0" borderId="0" xfId="0" applyNumberFormat="1" applyFont="1" applyAlignment="1">
      <alignment horizontal="center" vertical="top"/>
    </xf>
    <xf numFmtId="167" fontId="109" fillId="4" borderId="1" xfId="0" applyNumberFormat="1" applyFont="1" applyFill="1" applyBorder="1"/>
    <xf numFmtId="4" fontId="109" fillId="25" borderId="1" xfId="0" applyNumberFormat="1" applyFont="1" applyFill="1" applyBorder="1" applyAlignment="1">
      <alignment horizontal="center" vertical="top"/>
    </xf>
    <xf numFmtId="4" fontId="109" fillId="10" borderId="1" xfId="0" applyNumberFormat="1" applyFont="1" applyFill="1" applyBorder="1" applyAlignment="1">
      <alignment horizontal="center" vertical="top"/>
    </xf>
    <xf numFmtId="0" fontId="109" fillId="4" borderId="1" xfId="0" applyFont="1" applyFill="1" applyBorder="1" applyAlignment="1">
      <alignment horizontal="left" vertical="top"/>
    </xf>
    <xf numFmtId="167" fontId="109" fillId="4" borderId="1" xfId="0" applyNumberFormat="1" applyFont="1" applyFill="1" applyBorder="1" applyAlignment="1">
      <alignment horizontal="left" vertical="top"/>
    </xf>
    <xf numFmtId="1" fontId="109" fillId="4" borderId="1" xfId="0" applyNumberFormat="1" applyFont="1" applyFill="1" applyBorder="1" applyAlignment="1">
      <alignment horizontal="center" vertical="top"/>
    </xf>
    <xf numFmtId="1" fontId="109" fillId="4" borderId="1" xfId="0" applyNumberFormat="1" applyFont="1" applyFill="1" applyBorder="1" applyAlignment="1">
      <alignment horizontal="center"/>
    </xf>
    <xf numFmtId="1" fontId="109" fillId="4" borderId="1" xfId="0" applyNumberFormat="1" applyFont="1" applyFill="1" applyBorder="1" applyAlignment="1">
      <alignment horizontal="center" vertical="center"/>
    </xf>
    <xf numFmtId="49" fontId="109" fillId="26" borderId="1" xfId="0" applyNumberFormat="1" applyFont="1" applyFill="1" applyBorder="1" applyAlignment="1">
      <alignment horizontal="left" vertical="top"/>
    </xf>
    <xf numFmtId="4" fontId="109" fillId="26" borderId="1" xfId="0" applyNumberFormat="1" applyFont="1" applyFill="1" applyBorder="1" applyAlignment="1">
      <alignment horizontal="center" vertical="top"/>
    </xf>
    <xf numFmtId="4" fontId="109" fillId="4" borderId="1" xfId="0" applyNumberFormat="1" applyFont="1" applyFill="1" applyBorder="1"/>
    <xf numFmtId="0" fontId="154" fillId="8" borderId="1" xfId="0" applyFont="1" applyFill="1" applyBorder="1" applyAlignment="1">
      <alignment horizontal="center"/>
    </xf>
    <xf numFmtId="4" fontId="109" fillId="4" borderId="1" xfId="0" applyNumberFormat="1" applyFont="1" applyFill="1" applyBorder="1" applyAlignment="1">
      <alignment horizontal="left" vertical="top"/>
    </xf>
    <xf numFmtId="169" fontId="110" fillId="0" borderId="0" xfId="0" applyNumberFormat="1" applyFont="1"/>
    <xf numFmtId="0" fontId="153" fillId="27" borderId="1" xfId="0" applyFont="1" applyFill="1" applyBorder="1" applyAlignment="1">
      <alignment horizontal="left" vertical="top"/>
    </xf>
    <xf numFmtId="0" fontId="110" fillId="27" borderId="1" xfId="0" applyFont="1" applyFill="1" applyBorder="1" applyAlignment="1">
      <alignment horizontal="center"/>
    </xf>
    <xf numFmtId="0" fontId="108" fillId="7" borderId="1" xfId="0" applyFont="1" applyFill="1" applyBorder="1"/>
    <xf numFmtId="0" fontId="155" fillId="23" borderId="143" xfId="0" applyFont="1" applyFill="1" applyBorder="1" applyAlignment="1">
      <alignment horizontal="left" vertical="top"/>
    </xf>
    <xf numFmtId="49" fontId="156" fillId="23" borderId="143" xfId="0" applyNumberFormat="1" applyFont="1" applyFill="1" applyBorder="1" applyAlignment="1">
      <alignment horizontal="left" vertical="top"/>
    </xf>
    <xf numFmtId="0" fontId="156" fillId="23" borderId="1" xfId="0" applyFont="1" applyFill="1" applyBorder="1" applyAlignment="1">
      <alignment horizontal="left" vertical="top"/>
    </xf>
    <xf numFmtId="0" fontId="109" fillId="23" borderId="1" xfId="0" applyFont="1" applyFill="1" applyBorder="1" applyAlignment="1">
      <alignment horizontal="center"/>
    </xf>
    <xf numFmtId="0" fontId="109" fillId="23" borderId="1" xfId="0" applyFont="1" applyFill="1" applyBorder="1"/>
    <xf numFmtId="49" fontId="109" fillId="23" borderId="1" xfId="0" applyNumberFormat="1" applyFont="1" applyFill="1" applyBorder="1" applyAlignment="1">
      <alignment horizontal="center"/>
    </xf>
    <xf numFmtId="0" fontId="109" fillId="7" borderId="1" xfId="0" applyFont="1" applyFill="1" applyBorder="1"/>
    <xf numFmtId="0" fontId="157" fillId="0" borderId="0" xfId="0" applyFont="1"/>
    <xf numFmtId="0" fontId="156" fillId="23" borderId="143" xfId="0" applyFont="1" applyFill="1" applyBorder="1" applyAlignment="1">
      <alignment horizontal="left" vertical="top"/>
    </xf>
    <xf numFmtId="0" fontId="110" fillId="23" borderId="1" xfId="0" applyFont="1" applyFill="1" applyBorder="1" applyAlignment="1">
      <alignment horizontal="center"/>
    </xf>
    <xf numFmtId="49" fontId="109" fillId="4" borderId="143" xfId="0" applyNumberFormat="1" applyFont="1" applyFill="1" applyBorder="1" applyAlignment="1">
      <alignment horizontal="left" vertical="center"/>
    </xf>
    <xf numFmtId="39" fontId="156" fillId="23" borderId="143" xfId="0" applyNumberFormat="1" applyFont="1" applyFill="1" applyBorder="1" applyAlignment="1">
      <alignment horizontal="left" vertical="top"/>
    </xf>
    <xf numFmtId="1" fontId="155" fillId="23" borderId="143" xfId="0" applyNumberFormat="1" applyFont="1" applyFill="1" applyBorder="1" applyAlignment="1">
      <alignment horizontal="left" vertical="top"/>
    </xf>
    <xf numFmtId="49" fontId="155" fillId="23" borderId="143" xfId="0" applyNumberFormat="1" applyFont="1" applyFill="1" applyBorder="1" applyAlignment="1">
      <alignment horizontal="left" vertical="top"/>
    </xf>
    <xf numFmtId="0" fontId="155" fillId="23" borderId="144" xfId="0" applyFont="1" applyFill="1" applyBorder="1" applyAlignment="1">
      <alignment horizontal="left" vertical="top"/>
    </xf>
    <xf numFmtId="49" fontId="156" fillId="23" borderId="144" xfId="0" applyNumberFormat="1" applyFont="1" applyFill="1" applyBorder="1" applyAlignment="1">
      <alignment horizontal="left" vertical="top"/>
    </xf>
    <xf numFmtId="0" fontId="156" fillId="23" borderId="142" xfId="0" applyFont="1" applyFill="1" applyBorder="1" applyAlignment="1">
      <alignment horizontal="left" vertical="top"/>
    </xf>
    <xf numFmtId="0" fontId="156" fillId="23" borderId="145" xfId="0" applyFont="1" applyFill="1" applyBorder="1" applyAlignment="1">
      <alignment horizontal="left" vertical="top"/>
    </xf>
    <xf numFmtId="0" fontId="156" fillId="23" borderId="144" xfId="0" applyFont="1" applyFill="1" applyBorder="1" applyAlignment="1">
      <alignment horizontal="left" vertical="top"/>
    </xf>
    <xf numFmtId="49" fontId="156" fillId="26" borderId="143" xfId="0" applyNumberFormat="1" applyFont="1" applyFill="1" applyBorder="1" applyAlignment="1">
      <alignment horizontal="left" vertical="top"/>
    </xf>
    <xf numFmtId="49" fontId="156" fillId="23" borderId="1" xfId="0" applyNumberFormat="1" applyFont="1" applyFill="1" applyBorder="1" applyAlignment="1">
      <alignment horizontal="left" vertical="top"/>
    </xf>
    <xf numFmtId="49" fontId="155" fillId="23" borderId="1" xfId="0" applyNumberFormat="1" applyFont="1" applyFill="1" applyBorder="1" applyAlignment="1">
      <alignment horizontal="left" vertical="top"/>
    </xf>
    <xf numFmtId="49" fontId="109" fillId="10" borderId="1" xfId="0" applyNumberFormat="1" applyFont="1" applyFill="1" applyBorder="1" applyAlignment="1">
      <alignment horizontal="left" vertical="top"/>
    </xf>
    <xf numFmtId="39" fontId="156" fillId="23" borderId="146" xfId="0" applyNumberFormat="1" applyFont="1" applyFill="1" applyBorder="1" applyAlignment="1">
      <alignment horizontal="left" vertical="top"/>
    </xf>
    <xf numFmtId="39" fontId="156" fillId="23" borderId="144" xfId="0" applyNumberFormat="1" applyFont="1" applyFill="1" applyBorder="1" applyAlignment="1">
      <alignment horizontal="left" vertical="top"/>
    </xf>
    <xf numFmtId="0" fontId="155" fillId="23" borderId="1" xfId="0" applyFont="1" applyFill="1" applyBorder="1" applyAlignment="1">
      <alignment horizontal="left" vertical="top"/>
    </xf>
    <xf numFmtId="39" fontId="156" fillId="23" borderId="1" xfId="0" applyNumberFormat="1" applyFont="1" applyFill="1" applyBorder="1" applyAlignment="1">
      <alignment horizontal="left" vertical="top"/>
    </xf>
    <xf numFmtId="0" fontId="160" fillId="23" borderId="143" xfId="0" applyFont="1" applyFill="1" applyBorder="1" applyAlignment="1">
      <alignment horizontal="left" vertical="top"/>
    </xf>
    <xf numFmtId="0" fontId="156" fillId="23" borderId="146" xfId="0" applyFont="1" applyFill="1" applyBorder="1" applyAlignment="1">
      <alignment horizontal="left" vertical="top"/>
    </xf>
    <xf numFmtId="0" fontId="161" fillId="28" borderId="143" xfId="0" applyFont="1" applyFill="1" applyBorder="1" applyAlignment="1">
      <alignment horizontal="left" vertical="top"/>
    </xf>
    <xf numFmtId="0" fontId="156" fillId="28" borderId="143" xfId="0" applyFont="1" applyFill="1" applyBorder="1" applyAlignment="1">
      <alignment horizontal="left" vertical="top"/>
    </xf>
    <xf numFmtId="0" fontId="155" fillId="4" borderId="143" xfId="0" applyFont="1" applyFill="1" applyBorder="1" applyAlignment="1">
      <alignment horizontal="left" vertical="top"/>
    </xf>
    <xf numFmtId="0" fontId="156" fillId="4" borderId="143" xfId="0" applyFont="1" applyFill="1" applyBorder="1" applyAlignment="1">
      <alignment horizontal="left" vertical="top"/>
    </xf>
    <xf numFmtId="0" fontId="156" fillId="4" borderId="1" xfId="0" applyFont="1" applyFill="1" applyBorder="1" applyAlignment="1">
      <alignment horizontal="left" vertical="top"/>
    </xf>
    <xf numFmtId="169" fontId="109" fillId="4" borderId="1" xfId="0" applyNumberFormat="1" applyFont="1" applyFill="1" applyBorder="1" applyAlignment="1">
      <alignment horizontal="center" vertical="top"/>
    </xf>
    <xf numFmtId="169" fontId="109" fillId="26" borderId="1" xfId="0" applyNumberFormat="1" applyFont="1" applyFill="1" applyBorder="1" applyAlignment="1">
      <alignment horizontal="center" vertical="top"/>
    </xf>
    <xf numFmtId="4" fontId="109" fillId="4" borderId="1" xfId="0" applyNumberFormat="1" applyFont="1" applyFill="1" applyBorder="1" applyAlignment="1">
      <alignment horizontal="center" vertical="top"/>
    </xf>
    <xf numFmtId="49" fontId="109" fillId="0" borderId="0" xfId="0" applyNumberFormat="1" applyFont="1" applyAlignment="1">
      <alignment horizontal="left" vertical="center"/>
    </xf>
    <xf numFmtId="181" fontId="109" fillId="0" borderId="0" xfId="0" applyNumberFormat="1" applyFont="1" applyAlignment="1">
      <alignment horizontal="right" vertical="center"/>
    </xf>
    <xf numFmtId="0" fontId="109" fillId="0" borderId="0" xfId="0" applyFont="1" applyAlignment="1">
      <alignment horizontal="left" vertical="top"/>
    </xf>
    <xf numFmtId="183" fontId="109" fillId="0" borderId="0" xfId="0" applyNumberFormat="1" applyFont="1" applyAlignment="1">
      <alignment horizontal="right" vertical="top"/>
    </xf>
    <xf numFmtId="1" fontId="155" fillId="23" borderId="147" xfId="0" applyNumberFormat="1" applyFont="1" applyFill="1" applyBorder="1" applyAlignment="1">
      <alignment horizontal="left" vertical="top"/>
    </xf>
    <xf numFmtId="49" fontId="156" fillId="23" borderId="147" xfId="0" applyNumberFormat="1" applyFont="1" applyFill="1" applyBorder="1" applyAlignment="1">
      <alignment horizontal="left" vertical="top"/>
    </xf>
    <xf numFmtId="49" fontId="155" fillId="23" borderId="147" xfId="0" applyNumberFormat="1" applyFont="1" applyFill="1" applyBorder="1" applyAlignment="1">
      <alignment horizontal="left" vertical="top"/>
    </xf>
    <xf numFmtId="1" fontId="155" fillId="4" borderId="143" xfId="0" applyNumberFormat="1" applyFont="1" applyFill="1" applyBorder="1" applyAlignment="1">
      <alignment horizontal="left" vertical="top"/>
    </xf>
    <xf numFmtId="0" fontId="156" fillId="23" borderId="147" xfId="0" applyFont="1" applyFill="1" applyBorder="1" applyAlignment="1">
      <alignment horizontal="left" vertical="top"/>
    </xf>
    <xf numFmtId="0" fontId="156" fillId="23" borderId="148" xfId="0" applyFont="1" applyFill="1" applyBorder="1" applyAlignment="1">
      <alignment horizontal="left" vertical="top"/>
    </xf>
    <xf numFmtId="0" fontId="156" fillId="23" borderId="149" xfId="0" applyFont="1" applyFill="1" applyBorder="1" applyAlignment="1">
      <alignment horizontal="left" vertical="top"/>
    </xf>
    <xf numFmtId="0" fontId="155" fillId="23" borderId="150" xfId="0" applyFont="1" applyFill="1" applyBorder="1" applyAlignment="1">
      <alignment horizontal="left" vertical="top"/>
    </xf>
    <xf numFmtId="39" fontId="156" fillId="23" borderId="149" xfId="0" applyNumberFormat="1" applyFont="1" applyFill="1" applyBorder="1" applyAlignment="1">
      <alignment horizontal="left" vertical="top"/>
    </xf>
    <xf numFmtId="39" fontId="156" fillId="23" borderId="147" xfId="0" applyNumberFormat="1" applyFont="1" applyFill="1" applyBorder="1" applyAlignment="1">
      <alignment horizontal="left" vertical="top"/>
    </xf>
    <xf numFmtId="0" fontId="155" fillId="23" borderId="147" xfId="0" applyFont="1" applyFill="1" applyBorder="1" applyAlignment="1">
      <alignment horizontal="left" vertical="top"/>
    </xf>
    <xf numFmtId="0" fontId="162" fillId="29" borderId="151" xfId="0" applyFont="1" applyFill="1" applyBorder="1"/>
    <xf numFmtId="0" fontId="162" fillId="29" borderId="152" xfId="0" applyFont="1" applyFill="1" applyBorder="1"/>
    <xf numFmtId="0" fontId="162" fillId="29" borderId="153" xfId="0" applyFont="1" applyFill="1" applyBorder="1"/>
    <xf numFmtId="3" fontId="163" fillId="29" borderId="154" xfId="0" applyNumberFormat="1" applyFont="1" applyFill="1" applyBorder="1" applyAlignment="1">
      <alignment horizontal="center"/>
    </xf>
    <xf numFmtId="3" fontId="163" fillId="29" borderId="0" xfId="0" applyNumberFormat="1" applyFont="1" applyFill="1" applyAlignment="1">
      <alignment horizontal="center"/>
    </xf>
    <xf numFmtId="3" fontId="163" fillId="29" borderId="155" xfId="0" applyNumberFormat="1" applyFont="1" applyFill="1" applyBorder="1" applyAlignment="1">
      <alignment horizontal="center"/>
    </xf>
    <xf numFmtId="3" fontId="163" fillId="29" borderId="156" xfId="0" applyNumberFormat="1" applyFont="1" applyFill="1" applyBorder="1" applyAlignment="1">
      <alignment horizontal="center"/>
    </xf>
    <xf numFmtId="3" fontId="163" fillId="29" borderId="157" xfId="0" applyNumberFormat="1" applyFont="1" applyFill="1" applyBorder="1" applyAlignment="1">
      <alignment horizontal="center"/>
    </xf>
    <xf numFmtId="3" fontId="163" fillId="29" borderId="158" xfId="0" applyNumberFormat="1" applyFont="1" applyFill="1" applyBorder="1" applyAlignment="1">
      <alignment horizontal="right"/>
    </xf>
    <xf numFmtId="3" fontId="163" fillId="29" borderId="158" xfId="0" applyNumberFormat="1" applyFont="1" applyFill="1" applyBorder="1" applyAlignment="1" applyProtection="1">
      <alignment horizontal="right"/>
      <protection locked="0"/>
    </xf>
    <xf numFmtId="3" fontId="163" fillId="29" borderId="154" xfId="0" applyNumberFormat="1" applyFont="1" applyFill="1" applyBorder="1"/>
    <xf numFmtId="3" fontId="163" fillId="29" borderId="0" xfId="0" applyNumberFormat="1" applyFont="1" applyFill="1"/>
    <xf numFmtId="3" fontId="163" fillId="29" borderId="155" xfId="0" applyNumberFormat="1" applyFont="1" applyFill="1" applyBorder="1"/>
    <xf numFmtId="3" fontId="163" fillId="29" borderId="154" xfId="0" applyNumberFormat="1" applyFont="1" applyFill="1" applyBorder="1" applyProtection="1">
      <protection locked="0"/>
    </xf>
    <xf numFmtId="3" fontId="163" fillId="29" borderId="155" xfId="0" applyNumberFormat="1" applyFont="1" applyFill="1" applyBorder="1" applyProtection="1">
      <protection locked="0"/>
    </xf>
    <xf numFmtId="0" fontId="163" fillId="29" borderId="154" xfId="0" applyFont="1" applyFill="1" applyBorder="1"/>
    <xf numFmtId="0" fontId="163" fillId="29" borderId="155" xfId="0" applyFont="1" applyFill="1" applyBorder="1"/>
    <xf numFmtId="3" fontId="163" fillId="29" borderId="159" xfId="0" applyNumberFormat="1" applyFont="1" applyFill="1" applyBorder="1"/>
    <xf numFmtId="3" fontId="163" fillId="29" borderId="160" xfId="0" applyNumberFormat="1" applyFont="1" applyFill="1" applyBorder="1"/>
    <xf numFmtId="3" fontId="163" fillId="29" borderId="161" xfId="0" applyNumberFormat="1" applyFont="1" applyFill="1" applyBorder="1"/>
    <xf numFmtId="3" fontId="163" fillId="29" borderId="159" xfId="0" applyNumberFormat="1" applyFont="1" applyFill="1" applyBorder="1" applyProtection="1">
      <protection locked="0"/>
    </xf>
    <xf numFmtId="3" fontId="163" fillId="29" borderId="161" xfId="0" applyNumberFormat="1" applyFont="1" applyFill="1" applyBorder="1" applyProtection="1">
      <protection locked="0"/>
    </xf>
    <xf numFmtId="0" fontId="163" fillId="29" borderId="0" xfId="0" applyFont="1" applyFill="1"/>
    <xf numFmtId="37" fontId="163" fillId="29" borderId="155" xfId="0" applyNumberFormat="1" applyFont="1" applyFill="1" applyBorder="1"/>
    <xf numFmtId="37" fontId="162" fillId="30" borderId="162" xfId="0" applyNumberFormat="1" applyFont="1" applyFill="1" applyBorder="1"/>
    <xf numFmtId="174" fontId="162" fillId="30" borderId="163" xfId="0" applyNumberFormat="1" applyFont="1" applyFill="1" applyBorder="1"/>
    <xf numFmtId="37" fontId="162" fillId="30" borderId="164" xfId="0" applyNumberFormat="1" applyFont="1" applyFill="1" applyBorder="1"/>
    <xf numFmtId="0" fontId="162" fillId="30" borderId="165" xfId="0" applyFont="1" applyFill="1" applyBorder="1"/>
    <xf numFmtId="0" fontId="162" fillId="30" borderId="166" xfId="0" applyFont="1" applyFill="1" applyBorder="1"/>
    <xf numFmtId="0" fontId="162" fillId="30" borderId="167" xfId="0" applyFont="1" applyFill="1" applyBorder="1"/>
    <xf numFmtId="0" fontId="162" fillId="31" borderId="154" xfId="0" applyFont="1" applyFill="1" applyBorder="1"/>
    <xf numFmtId="0" fontId="162" fillId="31" borderId="0" xfId="0" applyFont="1" applyFill="1"/>
    <xf numFmtId="0" fontId="162" fillId="31" borderId="155" xfId="0" applyFont="1" applyFill="1" applyBorder="1"/>
    <xf numFmtId="0" fontId="163" fillId="29" borderId="0" xfId="0" applyFont="1" applyFill="1" applyAlignment="1">
      <alignment horizontal="center"/>
    </xf>
    <xf numFmtId="9" fontId="163" fillId="29" borderId="154" xfId="2" applyFont="1" applyFill="1" applyBorder="1"/>
    <xf numFmtId="37" fontId="163" fillId="29" borderId="0" xfId="0" applyNumberFormat="1" applyFont="1" applyFill="1"/>
    <xf numFmtId="37" fontId="163" fillId="29" borderId="155" xfId="0" applyNumberFormat="1" applyFont="1" applyFill="1" applyBorder="1" applyProtection="1">
      <protection locked="0"/>
    </xf>
    <xf numFmtId="9" fontId="163" fillId="29" borderId="156" xfId="2" applyFont="1" applyFill="1" applyBorder="1"/>
    <xf numFmtId="37" fontId="163" fillId="29" borderId="157" xfId="0" applyNumberFormat="1" applyFont="1" applyFill="1" applyBorder="1"/>
    <xf numFmtId="37" fontId="163" fillId="29" borderId="158" xfId="0" applyNumberFormat="1" applyFont="1" applyFill="1" applyBorder="1"/>
    <xf numFmtId="37" fontId="163" fillId="29" borderId="158" xfId="0" applyNumberFormat="1" applyFont="1" applyFill="1" applyBorder="1" applyProtection="1">
      <protection locked="0"/>
    </xf>
    <xf numFmtId="0" fontId="163" fillId="29" borderId="156" xfId="0" applyFont="1" applyFill="1" applyBorder="1"/>
    <xf numFmtId="0" fontId="163" fillId="29" borderId="157" xfId="0" applyFont="1" applyFill="1" applyBorder="1"/>
    <xf numFmtId="0" fontId="163" fillId="29" borderId="159" xfId="0" applyFont="1" applyFill="1" applyBorder="1"/>
    <xf numFmtId="0" fontId="163" fillId="29" borderId="160" xfId="0" applyFont="1" applyFill="1" applyBorder="1"/>
    <xf numFmtId="37" fontId="163" fillId="29" borderId="161" xfId="0" applyNumberFormat="1" applyFont="1" applyFill="1" applyBorder="1"/>
    <xf numFmtId="37" fontId="163" fillId="29" borderId="161" xfId="0" applyNumberFormat="1" applyFont="1" applyFill="1" applyBorder="1" applyProtection="1">
      <protection locked="0"/>
    </xf>
    <xf numFmtId="0" fontId="162" fillId="30" borderId="168" xfId="0" applyFont="1" applyFill="1" applyBorder="1" applyAlignment="1">
      <alignment horizontal="center"/>
    </xf>
    <xf numFmtId="37" fontId="162" fillId="30" borderId="169" xfId="0" applyNumberFormat="1" applyFont="1" applyFill="1" applyBorder="1"/>
    <xf numFmtId="0" fontId="163" fillId="31" borderId="156" xfId="0" applyFont="1" applyFill="1" applyBorder="1"/>
    <xf numFmtId="0" fontId="163" fillId="31" borderId="157" xfId="0" applyFont="1" applyFill="1" applyBorder="1"/>
    <xf numFmtId="37" fontId="162" fillId="31" borderId="155" xfId="0" applyNumberFormat="1" applyFont="1" applyFill="1" applyBorder="1"/>
    <xf numFmtId="0" fontId="164" fillId="29" borderId="0" xfId="0" applyFont="1" applyFill="1"/>
    <xf numFmtId="37" fontId="164" fillId="29" borderId="0" xfId="0" applyNumberFormat="1" applyFont="1" applyFill="1"/>
    <xf numFmtId="0" fontId="165" fillId="29" borderId="0" xfId="0" applyFont="1" applyFill="1"/>
    <xf numFmtId="0" fontId="166" fillId="29" borderId="0" xfId="0" applyFont="1" applyFill="1"/>
    <xf numFmtId="0" fontId="163" fillId="29" borderId="154" xfId="0" applyFont="1" applyFill="1" applyBorder="1" applyAlignment="1">
      <alignment horizontal="center"/>
    </xf>
    <xf numFmtId="0" fontId="163" fillId="29" borderId="155" xfId="0" applyFont="1" applyFill="1" applyBorder="1" applyAlignment="1">
      <alignment horizontal="center"/>
    </xf>
    <xf numFmtId="3" fontId="163" fillId="29" borderId="158" xfId="0" applyNumberFormat="1" applyFont="1" applyFill="1" applyBorder="1" applyAlignment="1" applyProtection="1">
      <alignment horizontal="center"/>
      <protection locked="0"/>
    </xf>
    <xf numFmtId="3" fontId="163" fillId="29" borderId="156" xfId="0" applyNumberFormat="1" applyFont="1" applyFill="1" applyBorder="1"/>
    <xf numFmtId="3" fontId="163" fillId="29" borderId="157" xfId="0" applyNumberFormat="1" applyFont="1" applyFill="1" applyBorder="1"/>
    <xf numFmtId="3" fontId="163" fillId="29" borderId="158" xfId="0" applyNumberFormat="1" applyFont="1" applyFill="1" applyBorder="1"/>
    <xf numFmtId="0" fontId="162" fillId="29" borderId="154" xfId="0" applyFont="1" applyFill="1" applyBorder="1"/>
    <xf numFmtId="0" fontId="162" fillId="29" borderId="0" xfId="0" applyFont="1" applyFill="1"/>
    <xf numFmtId="0" fontId="162" fillId="29" borderId="155" xfId="0" applyFont="1" applyFill="1" applyBorder="1"/>
    <xf numFmtId="0" fontId="163" fillId="29" borderId="154" xfId="0" applyFont="1" applyFill="1" applyBorder="1" applyAlignment="1">
      <alignment horizontal="right"/>
    </xf>
    <xf numFmtId="175" fontId="163" fillId="29" borderId="0" xfId="0" applyNumberFormat="1" applyFont="1" applyFill="1"/>
    <xf numFmtId="37" fontId="165" fillId="29" borderId="0" xfId="0" applyNumberFormat="1" applyFont="1" applyFill="1"/>
    <xf numFmtId="37" fontId="163" fillId="29" borderId="154" xfId="0" applyNumberFormat="1" applyFont="1" applyFill="1" applyBorder="1"/>
    <xf numFmtId="37" fontId="163" fillId="29" borderId="154" xfId="0" applyNumberFormat="1" applyFont="1" applyFill="1" applyBorder="1" applyProtection="1">
      <protection locked="0"/>
    </xf>
    <xf numFmtId="37" fontId="163" fillId="29" borderId="0" xfId="0" applyNumberFormat="1" applyFont="1" applyFill="1" applyProtection="1">
      <protection locked="0"/>
    </xf>
    <xf numFmtId="175" fontId="163" fillId="29" borderId="155" xfId="0" applyNumberFormat="1" applyFont="1" applyFill="1" applyBorder="1"/>
    <xf numFmtId="37" fontId="163" fillId="29" borderId="156" xfId="0" applyNumberFormat="1" applyFont="1" applyFill="1" applyBorder="1"/>
    <xf numFmtId="2" fontId="163" fillId="29" borderId="157" xfId="0" applyNumberFormat="1" applyFont="1" applyFill="1" applyBorder="1"/>
    <xf numFmtId="175" fontId="163" fillId="29" borderId="158" xfId="0" applyNumberFormat="1" applyFont="1" applyFill="1" applyBorder="1"/>
    <xf numFmtId="174" fontId="163" fillId="29" borderId="0" xfId="0" applyNumberFormat="1" applyFont="1" applyFill="1"/>
    <xf numFmtId="176" fontId="163" fillId="29" borderId="0" xfId="0" applyNumberFormat="1" applyFont="1" applyFill="1"/>
    <xf numFmtId="37" fontId="162" fillId="29" borderId="154" xfId="0" applyNumberFormat="1" applyFont="1" applyFill="1" applyBorder="1"/>
    <xf numFmtId="174" fontId="162" fillId="29" borderId="0" xfId="0" applyNumberFormat="1" applyFont="1" applyFill="1"/>
    <xf numFmtId="37" fontId="162" fillId="29" borderId="156" xfId="0" applyNumberFormat="1" applyFont="1" applyFill="1" applyBorder="1"/>
    <xf numFmtId="176" fontId="163" fillId="29" borderId="157" xfId="0" applyNumberFormat="1" applyFont="1" applyFill="1" applyBorder="1"/>
    <xf numFmtId="37" fontId="162" fillId="31" borderId="162" xfId="0" applyNumberFormat="1" applyFont="1" applyFill="1" applyBorder="1"/>
    <xf numFmtId="37" fontId="162" fillId="31" borderId="163" xfId="0" applyNumberFormat="1" applyFont="1" applyFill="1" applyBorder="1"/>
    <xf numFmtId="37" fontId="162" fillId="31" borderId="164" xfId="0" applyNumberFormat="1" applyFont="1" applyFill="1" applyBorder="1"/>
    <xf numFmtId="37" fontId="162" fillId="31" borderId="156" xfId="0" applyNumberFormat="1" applyFont="1" applyFill="1" applyBorder="1"/>
    <xf numFmtId="39" fontId="162" fillId="31" borderId="157" xfId="0" applyNumberFormat="1" applyFont="1" applyFill="1" applyBorder="1"/>
    <xf numFmtId="175" fontId="162" fillId="29" borderId="155" xfId="0" applyNumberFormat="1" applyFont="1" applyFill="1" applyBorder="1"/>
    <xf numFmtId="174" fontId="163" fillId="29" borderId="0" xfId="0" applyNumberFormat="1" applyFont="1" applyFill="1" applyProtection="1">
      <protection locked="0"/>
    </xf>
    <xf numFmtId="174" fontId="163" fillId="29" borderId="157" xfId="0" applyNumberFormat="1" applyFont="1" applyFill="1" applyBorder="1"/>
    <xf numFmtId="37" fontId="162" fillId="30" borderId="163" xfId="0" applyNumberFormat="1" applyFont="1" applyFill="1" applyBorder="1"/>
    <xf numFmtId="175" fontId="162" fillId="30" borderId="167" xfId="0" applyNumberFormat="1" applyFont="1" applyFill="1" applyBorder="1"/>
    <xf numFmtId="175" fontId="162" fillId="31" borderId="155" xfId="0" applyNumberFormat="1" applyFont="1" applyFill="1" applyBorder="1"/>
    <xf numFmtId="0" fontId="163" fillId="29" borderId="158" xfId="0" applyFont="1" applyFill="1" applyBorder="1"/>
    <xf numFmtId="175" fontId="163" fillId="29" borderId="0" xfId="2" applyNumberFormat="1" applyFont="1" applyFill="1"/>
    <xf numFmtId="175" fontId="163" fillId="29" borderId="160" xfId="0" applyNumberFormat="1" applyFont="1" applyFill="1" applyBorder="1"/>
    <xf numFmtId="37" fontId="163" fillId="29" borderId="159" xfId="0" applyNumberFormat="1" applyFont="1" applyFill="1" applyBorder="1" applyProtection="1">
      <protection locked="0"/>
    </xf>
    <xf numFmtId="175" fontId="162" fillId="30" borderId="163" xfId="0" applyNumberFormat="1" applyFont="1" applyFill="1" applyBorder="1"/>
    <xf numFmtId="37" fontId="162" fillId="31" borderId="154" xfId="0" applyNumberFormat="1" applyFont="1" applyFill="1" applyBorder="1"/>
    <xf numFmtId="174" fontId="162" fillId="31" borderId="0" xfId="0" applyNumberFormat="1" applyFont="1" applyFill="1"/>
    <xf numFmtId="37" fontId="162" fillId="29" borderId="0" xfId="0" applyNumberFormat="1" applyFont="1" applyFill="1"/>
    <xf numFmtId="0" fontId="163" fillId="30" borderId="170" xfId="0" applyFont="1" applyFill="1" applyBorder="1"/>
    <xf numFmtId="0" fontId="163" fillId="30" borderId="171" xfId="0" applyFont="1" applyFill="1" applyBorder="1"/>
    <xf numFmtId="37" fontId="162" fillId="30" borderId="172" xfId="0" applyNumberFormat="1" applyFont="1" applyFill="1" applyBorder="1"/>
    <xf numFmtId="0" fontId="165" fillId="29" borderId="0" xfId="0" applyFont="1" applyFill="1" applyAlignment="1">
      <alignment horizontal="center"/>
    </xf>
    <xf numFmtId="0" fontId="165" fillId="29" borderId="166" xfId="0" applyFont="1" applyFill="1" applyBorder="1" applyAlignment="1">
      <alignment horizontal="center"/>
    </xf>
    <xf numFmtId="37" fontId="165" fillId="29" borderId="166" xfId="0" applyNumberFormat="1" applyFont="1" applyFill="1" applyBorder="1" applyAlignment="1">
      <alignment horizontal="center"/>
    </xf>
    <xf numFmtId="0" fontId="163" fillId="29" borderId="173" xfId="0" applyFont="1" applyFill="1" applyBorder="1" applyAlignment="1">
      <alignment horizontal="center"/>
    </xf>
    <xf numFmtId="0" fontId="163" fillId="29" borderId="157" xfId="0" applyFont="1" applyFill="1" applyBorder="1" applyAlignment="1">
      <alignment horizontal="center"/>
    </xf>
    <xf numFmtId="0" fontId="163" fillId="29" borderId="174" xfId="0" applyFont="1" applyFill="1" applyBorder="1" applyAlignment="1">
      <alignment horizontal="center"/>
    </xf>
    <xf numFmtId="37" fontId="167" fillId="29" borderId="173" xfId="0" applyNumberFormat="1" applyFont="1" applyFill="1" applyBorder="1"/>
    <xf numFmtId="37" fontId="167" fillId="29" borderId="157" xfId="0" applyNumberFormat="1" applyFont="1" applyFill="1" applyBorder="1"/>
    <xf numFmtId="37" fontId="167" fillId="29" borderId="174" xfId="0" applyNumberFormat="1" applyFont="1" applyFill="1" applyBorder="1"/>
    <xf numFmtId="37" fontId="168" fillId="30" borderId="173" xfId="0" applyNumberFormat="1" applyFont="1" applyFill="1" applyBorder="1"/>
    <xf numFmtId="37" fontId="168" fillId="30" borderId="157" xfId="0" applyNumberFormat="1" applyFont="1" applyFill="1" applyBorder="1"/>
    <xf numFmtId="37" fontId="168" fillId="30" borderId="174" xfId="0" applyNumberFormat="1" applyFont="1" applyFill="1" applyBorder="1"/>
    <xf numFmtId="37" fontId="167" fillId="29" borderId="175" xfId="0" applyNumberFormat="1" applyFont="1" applyFill="1" applyBorder="1"/>
    <xf numFmtId="0" fontId="167" fillId="29" borderId="0" xfId="0" applyFont="1" applyFill="1"/>
    <xf numFmtId="37" fontId="167" fillId="29" borderId="176" xfId="0" applyNumberFormat="1" applyFont="1" applyFill="1" applyBorder="1"/>
    <xf numFmtId="175" fontId="167" fillId="29" borderId="175" xfId="2" applyNumberFormat="1" applyFont="1" applyFill="1" applyBorder="1"/>
    <xf numFmtId="174" fontId="167" fillId="29" borderId="0" xfId="0" applyNumberFormat="1" applyFont="1" applyFill="1"/>
    <xf numFmtId="0" fontId="167" fillId="29" borderId="175" xfId="0" applyFont="1" applyFill="1" applyBorder="1"/>
    <xf numFmtId="175" fontId="167" fillId="29" borderId="173" xfId="2" applyNumberFormat="1" applyFont="1" applyFill="1" applyBorder="1"/>
    <xf numFmtId="174" fontId="167" fillId="29" borderId="157" xfId="0" applyNumberFormat="1" applyFont="1" applyFill="1" applyBorder="1"/>
    <xf numFmtId="0" fontId="167" fillId="29" borderId="173" xfId="0" applyFont="1" applyFill="1" applyBorder="1"/>
    <xf numFmtId="37" fontId="167" fillId="29" borderId="176" xfId="0" applyNumberFormat="1" applyFont="1" applyFill="1" applyBorder="1" applyProtection="1">
      <protection locked="0"/>
    </xf>
    <xf numFmtId="175" fontId="167" fillId="29" borderId="157" xfId="2" applyNumberFormat="1" applyFont="1" applyFill="1" applyBorder="1"/>
    <xf numFmtId="175" fontId="167" fillId="29" borderId="0" xfId="2" applyNumberFormat="1" applyFont="1" applyFill="1"/>
    <xf numFmtId="0" fontId="167" fillId="29" borderId="177" xfId="0" applyFont="1" applyFill="1" applyBorder="1"/>
    <xf numFmtId="174" fontId="167" fillId="29" borderId="160" xfId="0" applyNumberFormat="1" applyFont="1" applyFill="1" applyBorder="1"/>
    <xf numFmtId="37" fontId="167" fillId="29" borderId="178" xfId="0" applyNumberFormat="1" applyFont="1" applyFill="1" applyBorder="1"/>
    <xf numFmtId="37" fontId="167" fillId="29" borderId="174" xfId="0" applyNumberFormat="1" applyFont="1" applyFill="1" applyBorder="1" applyProtection="1">
      <protection locked="0"/>
    </xf>
    <xf numFmtId="0" fontId="169" fillId="29" borderId="175" xfId="0" applyFont="1" applyFill="1" applyBorder="1"/>
    <xf numFmtId="0" fontId="169" fillId="29" borderId="0" xfId="0" applyFont="1" applyFill="1"/>
    <xf numFmtId="37" fontId="169" fillId="29" borderId="176" xfId="0" applyNumberFormat="1" applyFont="1" applyFill="1" applyBorder="1"/>
    <xf numFmtId="175" fontId="168" fillId="29" borderId="175" xfId="0" applyNumberFormat="1" applyFont="1" applyFill="1" applyBorder="1"/>
    <xf numFmtId="0" fontId="168" fillId="29" borderId="0" xfId="0" applyFont="1" applyFill="1"/>
    <xf numFmtId="175" fontId="168" fillId="29" borderId="173" xfId="0" applyNumberFormat="1" applyFont="1" applyFill="1" applyBorder="1"/>
    <xf numFmtId="0" fontId="168" fillId="30" borderId="179" xfId="0" applyFont="1" applyFill="1" applyBorder="1" applyAlignment="1">
      <alignment horizontal="center"/>
    </xf>
    <xf numFmtId="175" fontId="168" fillId="30" borderId="180" xfId="0" applyNumberFormat="1" applyFont="1" applyFill="1" applyBorder="1"/>
    <xf numFmtId="37" fontId="168" fillId="30" borderId="181" xfId="0" applyNumberFormat="1" applyFont="1" applyFill="1" applyBorder="1"/>
    <xf numFmtId="0" fontId="168" fillId="30" borderId="182" xfId="0" applyFont="1" applyFill="1" applyBorder="1" applyAlignment="1">
      <alignment horizontal="center"/>
    </xf>
    <xf numFmtId="175" fontId="168" fillId="30" borderId="171" xfId="0" applyNumberFormat="1" applyFont="1" applyFill="1" applyBorder="1"/>
    <xf numFmtId="37" fontId="168" fillId="30" borderId="183" xfId="0" applyNumberFormat="1" applyFont="1" applyFill="1" applyBorder="1"/>
    <xf numFmtId="39" fontId="167" fillId="29" borderId="0" xfId="0" applyNumberFormat="1" applyFont="1" applyFill="1"/>
    <xf numFmtId="0" fontId="168" fillId="30" borderId="184" xfId="0" applyFont="1" applyFill="1" applyBorder="1" applyAlignment="1">
      <alignment horizontal="center"/>
    </xf>
    <xf numFmtId="175" fontId="168" fillId="30" borderId="184" xfId="0" applyNumberFormat="1" applyFont="1" applyFill="1" applyBorder="1"/>
    <xf numFmtId="37" fontId="168" fillId="30" borderId="184" xfId="0" applyNumberFormat="1" applyFont="1" applyFill="1" applyBorder="1"/>
    <xf numFmtId="0" fontId="168" fillId="30" borderId="185" xfId="0" applyFont="1" applyFill="1" applyBorder="1" applyAlignment="1">
      <alignment horizontal="center"/>
    </xf>
    <xf numFmtId="37" fontId="168" fillId="30" borderId="186" xfId="0" applyNumberFormat="1" applyFont="1" applyFill="1" applyBorder="1"/>
    <xf numFmtId="0" fontId="171" fillId="29" borderId="0" xfId="0" applyFont="1" applyFill="1"/>
    <xf numFmtId="0" fontId="171" fillId="29" borderId="175" xfId="0" applyFont="1" applyFill="1" applyBorder="1"/>
    <xf numFmtId="0" fontId="171" fillId="29" borderId="176" xfId="0" applyFont="1" applyFill="1" applyBorder="1"/>
    <xf numFmtId="37" fontId="167" fillId="29" borderId="0" xfId="0" applyNumberFormat="1" applyFont="1" applyFill="1"/>
    <xf numFmtId="0" fontId="165" fillId="29" borderId="175" xfId="0" applyFont="1" applyFill="1" applyBorder="1"/>
    <xf numFmtId="0" fontId="163" fillId="29" borderId="175" xfId="0" applyFont="1" applyFill="1" applyBorder="1"/>
    <xf numFmtId="0" fontId="162" fillId="29" borderId="175" xfId="0" applyFont="1" applyFill="1" applyBorder="1"/>
    <xf numFmtId="0" fontId="168" fillId="30" borderId="187" xfId="0" applyFont="1" applyFill="1" applyBorder="1" applyAlignment="1">
      <alignment horizontal="center"/>
    </xf>
    <xf numFmtId="175" fontId="168" fillId="30" borderId="187" xfId="0" applyNumberFormat="1" applyFont="1" applyFill="1" applyBorder="1"/>
    <xf numFmtId="37" fontId="168" fillId="30" borderId="187" xfId="0" applyNumberFormat="1" applyFont="1" applyFill="1" applyBorder="1"/>
    <xf numFmtId="0" fontId="168" fillId="30" borderId="188" xfId="0" applyFont="1" applyFill="1" applyBorder="1" applyAlignment="1">
      <alignment horizontal="center"/>
    </xf>
    <xf numFmtId="37" fontId="168" fillId="30" borderId="189" xfId="0" applyNumberFormat="1" applyFont="1" applyFill="1" applyBorder="1"/>
    <xf numFmtId="0" fontId="140" fillId="32" borderId="1" xfId="0" applyFont="1" applyFill="1" applyBorder="1"/>
    <xf numFmtId="0" fontId="140" fillId="32" borderId="1" xfId="0" applyFont="1" applyFill="1" applyBorder="1" applyAlignment="1">
      <alignment horizontal="center" vertical="center"/>
    </xf>
    <xf numFmtId="0" fontId="140" fillId="32" borderId="1" xfId="0" applyFont="1" applyFill="1" applyBorder="1" applyAlignment="1">
      <alignment horizontal="right"/>
    </xf>
    <xf numFmtId="175" fontId="112" fillId="3" borderId="13" xfId="2" applyNumberFormat="1" applyFont="1" applyFill="1" applyBorder="1"/>
    <xf numFmtId="3" fontId="119" fillId="0" borderId="95" xfId="0" applyNumberFormat="1" applyFont="1" applyBorder="1"/>
    <xf numFmtId="3" fontId="119" fillId="0" borderId="21" xfId="0" applyNumberFormat="1" applyFont="1" applyBorder="1"/>
    <xf numFmtId="175" fontId="112" fillId="3" borderId="36" xfId="2" applyNumberFormat="1" applyFont="1" applyFill="1" applyBorder="1"/>
    <xf numFmtId="0" fontId="140" fillId="32" borderId="1" xfId="0" applyFont="1" applyFill="1" applyBorder="1" applyAlignment="1">
      <alignment vertical="center"/>
    </xf>
    <xf numFmtId="0" fontId="113" fillId="0" borderId="1" xfId="0" applyFont="1" applyBorder="1" applyAlignment="1">
      <alignment horizontal="right" vertical="center"/>
    </xf>
    <xf numFmtId="0" fontId="113" fillId="0" borderId="1" xfId="0" applyFont="1" applyBorder="1" applyAlignment="1">
      <alignment horizontal="center" vertical="center"/>
    </xf>
    <xf numFmtId="0" fontId="113" fillId="0" borderId="1" xfId="0" applyFont="1" applyBorder="1"/>
    <xf numFmtId="37" fontId="120" fillId="0" borderId="110" xfId="0" applyNumberFormat="1" applyFont="1" applyBorder="1"/>
    <xf numFmtId="0" fontId="113" fillId="0" borderId="1" xfId="0" applyFont="1" applyBorder="1" applyAlignment="1">
      <alignment horizontal="right"/>
    </xf>
    <xf numFmtId="43" fontId="118" fillId="0" borderId="0" xfId="1" applyFont="1"/>
    <xf numFmtId="37" fontId="119" fillId="0" borderId="21" xfId="0" applyNumberFormat="1" applyFont="1" applyBorder="1"/>
    <xf numFmtId="37" fontId="120" fillId="0" borderId="1" xfId="0" applyNumberFormat="1" applyFont="1" applyBorder="1"/>
    <xf numFmtId="0" fontId="108" fillId="0" borderId="190" xfId="0" applyFont="1" applyBorder="1" applyAlignment="1">
      <alignment horizontal="center" vertical="center"/>
    </xf>
    <xf numFmtId="0" fontId="109" fillId="0" borderId="192" xfId="0" applyFont="1" applyBorder="1" applyAlignment="1">
      <alignment horizontal="center" vertical="center"/>
    </xf>
    <xf numFmtId="169" fontId="108" fillId="0" borderId="193" xfId="0" applyNumberFormat="1" applyFont="1" applyBorder="1" applyAlignment="1">
      <alignment horizontal="center" vertical="center"/>
    </xf>
    <xf numFmtId="169" fontId="109" fillId="0" borderId="193" xfId="0" applyNumberFormat="1" applyFont="1" applyBorder="1" applyAlignment="1">
      <alignment horizontal="center" vertical="center"/>
    </xf>
    <xf numFmtId="0" fontId="109" fillId="0" borderId="194" xfId="0" applyFont="1" applyBorder="1" applyAlignment="1">
      <alignment horizontal="center" vertical="center"/>
    </xf>
    <xf numFmtId="169" fontId="109" fillId="0" borderId="195" xfId="0" applyNumberFormat="1" applyFont="1" applyBorder="1" applyAlignment="1">
      <alignment horizontal="center" vertical="center"/>
    </xf>
    <xf numFmtId="0" fontId="162" fillId="29" borderId="151" xfId="0" applyFont="1" applyFill="1" applyBorder="1" applyAlignment="1">
      <alignment horizontal="center"/>
    </xf>
    <xf numFmtId="0" fontId="162" fillId="29" borderId="152" xfId="0" applyFont="1" applyFill="1" applyBorder="1" applyAlignment="1">
      <alignment horizontal="center"/>
    </xf>
    <xf numFmtId="0" fontId="162" fillId="29" borderId="153" xfId="0" applyFont="1" applyFill="1" applyBorder="1" applyAlignment="1">
      <alignment horizontal="center"/>
    </xf>
    <xf numFmtId="0" fontId="113" fillId="0" borderId="14" xfId="0" applyFont="1" applyBorder="1" applyAlignment="1">
      <alignment horizontal="center"/>
    </xf>
    <xf numFmtId="0" fontId="116" fillId="0" borderId="14" xfId="0" applyFont="1" applyBorder="1"/>
    <xf numFmtId="169" fontId="108" fillId="0" borderId="1" xfId="0" applyNumberFormat="1" applyFont="1" applyBorder="1" applyAlignment="1">
      <alignment horizontal="center" vertical="center"/>
    </xf>
    <xf numFmtId="169" fontId="109" fillId="0" borderId="1" xfId="0" applyNumberFormat="1" applyFont="1" applyBorder="1" applyAlignment="1">
      <alignment horizontal="center" vertical="center"/>
    </xf>
    <xf numFmtId="0" fontId="136" fillId="0" borderId="196" xfId="0" applyFont="1" applyBorder="1" applyAlignment="1">
      <alignment horizontal="center" vertical="center"/>
    </xf>
    <xf numFmtId="0" fontId="133" fillId="0" borderId="191" xfId="0" applyFont="1" applyBorder="1" applyAlignment="1">
      <alignment horizontal="center" vertical="center"/>
    </xf>
    <xf numFmtId="169" fontId="109" fillId="0" borderId="197" xfId="0" applyNumberFormat="1" applyFont="1" applyBorder="1" applyAlignment="1">
      <alignment horizontal="center" vertical="center"/>
    </xf>
    <xf numFmtId="175" fontId="122" fillId="0" borderId="8" xfId="0" applyNumberFormat="1" applyFont="1" applyBorder="1" applyAlignment="1">
      <alignment vertical="center"/>
    </xf>
    <xf numFmtId="175" fontId="122" fillId="0" borderId="9" xfId="0" applyNumberFormat="1" applyFont="1" applyBorder="1" applyAlignment="1">
      <alignment vertical="center"/>
    </xf>
    <xf numFmtId="0" fontId="172" fillId="0" borderId="0" xfId="0" applyFont="1"/>
    <xf numFmtId="0" fontId="172" fillId="0" borderId="0" xfId="0" applyFont="1" applyAlignment="1">
      <alignment horizontal="center"/>
    </xf>
    <xf numFmtId="0" fontId="172" fillId="0" borderId="0" xfId="0" applyFont="1" applyAlignment="1">
      <alignment horizontal="right" vertical="center"/>
    </xf>
    <xf numFmtId="0" fontId="172" fillId="0" borderId="0" xfId="0" applyFont="1" applyAlignment="1">
      <alignment horizontal="center" vertical="center"/>
    </xf>
    <xf numFmtId="0" fontId="172" fillId="0" borderId="0" xfId="0" applyFont="1" applyAlignment="1">
      <alignment horizontal="right"/>
    </xf>
    <xf numFmtId="0" fontId="119" fillId="0" borderId="1" xfId="0" applyFont="1" applyBorder="1"/>
    <xf numFmtId="0" fontId="119" fillId="0" borderId="20" xfId="0" applyFont="1" applyBorder="1"/>
    <xf numFmtId="14" fontId="110" fillId="0" borderId="0" xfId="0" applyNumberFormat="1" applyFont="1" applyAlignment="1">
      <alignment horizontal="left"/>
    </xf>
    <xf numFmtId="0" fontId="109" fillId="0" borderId="190" xfId="0" applyFont="1" applyBorder="1"/>
    <xf numFmtId="0" fontId="135" fillId="0" borderId="196" xfId="0" applyFont="1" applyBorder="1"/>
    <xf numFmtId="0" fontId="109" fillId="0" borderId="191" xfId="0" applyFont="1" applyBorder="1"/>
    <xf numFmtId="0" fontId="108" fillId="0" borderId="192" xfId="0" applyFont="1" applyBorder="1" applyAlignment="1">
      <alignment horizontal="left"/>
    </xf>
    <xf numFmtId="169" fontId="108" fillId="0" borderId="1" xfId="0" applyNumberFormat="1" applyFont="1" applyBorder="1" applyAlignment="1">
      <alignment horizontal="center"/>
    </xf>
    <xf numFmtId="0" fontId="109" fillId="0" borderId="193" xfId="0" applyFont="1" applyBorder="1"/>
    <xf numFmtId="169" fontId="109" fillId="0" borderId="1" xfId="0" applyNumberFormat="1" applyFont="1" applyBorder="1" applyAlignment="1">
      <alignment horizontal="right"/>
    </xf>
    <xf numFmtId="0" fontId="109" fillId="0" borderId="192" xfId="0" applyFont="1" applyBorder="1"/>
    <xf numFmtId="0" fontId="109" fillId="0" borderId="1" xfId="0" applyFont="1" applyBorder="1"/>
    <xf numFmtId="0" fontId="108" fillId="0" borderId="194" xfId="0" applyFont="1" applyBorder="1" applyAlignment="1">
      <alignment horizontal="left"/>
    </xf>
    <xf numFmtId="169" fontId="109" fillId="0" borderId="197" xfId="0" applyNumberFormat="1" applyFont="1" applyBorder="1" applyAlignment="1">
      <alignment horizontal="right"/>
    </xf>
    <xf numFmtId="177" fontId="110" fillId="0" borderId="0" xfId="0" applyNumberFormat="1" applyFont="1"/>
    <xf numFmtId="3" fontId="0" fillId="0" borderId="0" xfId="0" applyNumberFormat="1"/>
    <xf numFmtId="10" fontId="118" fillId="0" borderId="0" xfId="0" applyNumberFormat="1" applyFont="1"/>
    <xf numFmtId="172" fontId="118" fillId="0" borderId="0" xfId="1" applyNumberFormat="1" applyFont="1"/>
    <xf numFmtId="184" fontId="110" fillId="0" borderId="0" xfId="3" applyNumberFormat="1" applyFont="1"/>
    <xf numFmtId="184" fontId="110" fillId="10" borderId="1" xfId="3" applyNumberFormat="1" applyFont="1" applyFill="1" applyBorder="1" applyAlignment="1">
      <alignment horizontal="center" vertical="center"/>
    </xf>
    <xf numFmtId="184" fontId="110" fillId="10" borderId="1" xfId="3" applyNumberFormat="1" applyFont="1" applyFill="1" applyBorder="1" applyAlignment="1">
      <alignment horizontal="center"/>
    </xf>
    <xf numFmtId="17" fontId="118" fillId="0" borderId="0" xfId="0" applyNumberFormat="1" applyFont="1" applyAlignment="1">
      <alignment horizontal="right"/>
    </xf>
    <xf numFmtId="10" fontId="0" fillId="0" borderId="0" xfId="0" applyNumberFormat="1"/>
    <xf numFmtId="10" fontId="109" fillId="0" borderId="193" xfId="0" applyNumberFormat="1" applyFont="1" applyBorder="1" applyAlignment="1">
      <alignment horizontal="center"/>
    </xf>
    <xf numFmtId="0" fontId="110" fillId="34" borderId="0" xfId="0" applyFont="1" applyFill="1" applyAlignment="1">
      <alignment horizontal="center"/>
    </xf>
    <xf numFmtId="0" fontId="110" fillId="35" borderId="0" xfId="0" applyFont="1" applyFill="1" applyAlignment="1">
      <alignment horizontal="center"/>
    </xf>
    <xf numFmtId="3" fontId="122" fillId="3" borderId="29" xfId="0" applyNumberFormat="1" applyFont="1" applyFill="1" applyBorder="1" applyAlignment="1">
      <alignment horizontal="right"/>
    </xf>
    <xf numFmtId="1" fontId="119" fillId="0" borderId="14" xfId="0" applyNumberFormat="1" applyFont="1" applyBorder="1"/>
    <xf numFmtId="1" fontId="119" fillId="0" borderId="92" xfId="0" applyNumberFormat="1" applyFont="1" applyBorder="1"/>
    <xf numFmtId="37" fontId="120" fillId="33" borderId="0" xfId="0" applyNumberFormat="1" applyFont="1" applyFill="1"/>
    <xf numFmtId="37" fontId="120" fillId="0" borderId="111" xfId="0" applyNumberFormat="1" applyFont="1" applyBorder="1"/>
    <xf numFmtId="172" fontId="119" fillId="0" borderId="0" xfId="1" applyNumberFormat="1" applyFont="1"/>
    <xf numFmtId="49" fontId="153" fillId="27" borderId="1" xfId="0" applyNumberFormat="1" applyFont="1" applyFill="1" applyBorder="1" applyAlignment="1">
      <alignment horizontal="left" vertical="top"/>
    </xf>
    <xf numFmtId="49" fontId="155" fillId="23" borderId="144"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49" fontId="155" fillId="23" borderId="143" xfId="0" quotePrefix="1" applyNumberFormat="1" applyFont="1" applyFill="1" applyBorder="1" applyAlignment="1">
      <alignment horizontal="left" vertical="top"/>
    </xf>
    <xf numFmtId="0" fontId="0" fillId="36" borderId="0" xfId="0" applyFill="1"/>
    <xf numFmtId="43" fontId="110" fillId="36" borderId="0" xfId="0" applyNumberFormat="1" applyFont="1" applyFill="1"/>
    <xf numFmtId="1" fontId="110" fillId="36" borderId="0" xfId="0" applyNumberFormat="1" applyFont="1" applyFill="1" applyAlignment="1">
      <alignment horizontal="center"/>
    </xf>
    <xf numFmtId="49" fontId="104" fillId="0" borderId="1" xfId="10" applyNumberFormat="1" applyAlignment="1">
      <alignment horizontal="left" vertical="center"/>
    </xf>
    <xf numFmtId="43" fontId="104" fillId="0" borderId="1" xfId="1" applyFont="1" applyBorder="1" applyAlignment="1">
      <alignment horizontal="left" vertical="center"/>
    </xf>
    <xf numFmtId="0" fontId="103" fillId="36" borderId="1" xfId="11" applyFill="1"/>
    <xf numFmtId="165" fontId="103" fillId="36" borderId="1" xfId="12" applyFont="1" applyFill="1" applyAlignment="1">
      <alignment horizontal="right" vertical="center"/>
    </xf>
    <xf numFmtId="49" fontId="109" fillId="37" borderId="1" xfId="0" applyNumberFormat="1" applyFont="1" applyFill="1" applyBorder="1" applyAlignment="1">
      <alignment horizontal="left" vertical="center"/>
    </xf>
    <xf numFmtId="0" fontId="109" fillId="37" borderId="1" xfId="0" applyFont="1" applyFill="1" applyBorder="1" applyAlignment="1">
      <alignment horizontal="left" vertical="top"/>
    </xf>
    <xf numFmtId="0" fontId="109" fillId="37" borderId="1" xfId="0" applyFont="1" applyFill="1" applyBorder="1"/>
    <xf numFmtId="181" fontId="109" fillId="37" borderId="1" xfId="0" applyNumberFormat="1" applyFont="1" applyFill="1" applyBorder="1" applyAlignment="1">
      <alignment horizontal="right" vertical="center"/>
    </xf>
    <xf numFmtId="4" fontId="109" fillId="37" borderId="1" xfId="0" applyNumberFormat="1" applyFont="1" applyFill="1" applyBorder="1"/>
    <xf numFmtId="37" fontId="0" fillId="0" borderId="0" xfId="0" applyNumberFormat="1"/>
    <xf numFmtId="49" fontId="109" fillId="10"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49" fontId="109" fillId="0" borderId="1" xfId="0" applyNumberFormat="1" applyFont="1" applyBorder="1" applyAlignment="1">
      <alignment horizontal="left" vertical="top"/>
    </xf>
    <xf numFmtId="0" fontId="156" fillId="23" borderId="0" xfId="0" applyFont="1" applyFill="1" applyAlignment="1">
      <alignment horizontal="left" vertical="top"/>
    </xf>
    <xf numFmtId="49" fontId="109" fillId="10" borderId="144" xfId="0" applyNumberFormat="1" applyFont="1" applyFill="1" applyBorder="1" applyAlignment="1">
      <alignment horizontal="left" vertical="top"/>
    </xf>
    <xf numFmtId="3" fontId="112" fillId="0" borderId="0" xfId="0" applyNumberFormat="1" applyFont="1"/>
    <xf numFmtId="49" fontId="156" fillId="23" borderId="145" xfId="0" applyNumberFormat="1" applyFont="1" applyFill="1" applyBorder="1" applyAlignment="1">
      <alignment horizontal="left" vertical="top"/>
    </xf>
    <xf numFmtId="0" fontId="80" fillId="36" borderId="1" xfId="690" applyFill="1"/>
    <xf numFmtId="165" fontId="80" fillId="36" borderId="1" xfId="691" applyFont="1" applyFill="1" applyAlignment="1">
      <alignment horizontal="right" vertical="center"/>
    </xf>
    <xf numFmtId="0" fontId="75" fillId="36" borderId="1" xfId="1397" applyFill="1"/>
    <xf numFmtId="165" fontId="75" fillId="36" borderId="1" xfId="1398" applyFont="1" applyFill="1" applyAlignment="1">
      <alignment horizontal="right" vertical="center"/>
    </xf>
    <xf numFmtId="0" fontId="73" fillId="33" borderId="1" xfId="2755" applyFill="1"/>
    <xf numFmtId="185" fontId="73" fillId="33" borderId="1" xfId="2755" applyNumberFormat="1" applyFill="1" applyAlignment="1">
      <alignment horizontal="right" vertical="center"/>
    </xf>
    <xf numFmtId="186" fontId="73" fillId="33" borderId="1" xfId="2755" applyNumberFormat="1" applyFill="1" applyAlignment="1">
      <alignment horizontal="right" vertical="center"/>
    </xf>
    <xf numFmtId="49" fontId="73" fillId="33" borderId="1" xfId="2755" applyNumberFormat="1" applyFill="1" applyAlignment="1">
      <alignment horizontal="left" vertical="center"/>
    </xf>
    <xf numFmtId="49" fontId="174" fillId="36" borderId="1" xfId="2807" applyNumberFormat="1" applyFont="1" applyFill="1" applyAlignment="1">
      <alignment horizontal="left" vertical="center"/>
    </xf>
    <xf numFmtId="165" fontId="174" fillId="36" borderId="1" xfId="2808" applyFont="1" applyFill="1" applyAlignment="1">
      <alignment horizontal="right" vertical="center"/>
    </xf>
    <xf numFmtId="49" fontId="71" fillId="36" borderId="1" xfId="2807" applyNumberFormat="1" applyFill="1" applyAlignment="1">
      <alignment horizontal="left" vertical="center"/>
    </xf>
    <xf numFmtId="0" fontId="71" fillId="36" borderId="1" xfId="2807" applyFill="1"/>
    <xf numFmtId="165" fontId="71" fillId="36" borderId="1" xfId="2808" applyFont="1" applyFill="1" applyAlignment="1">
      <alignment horizontal="right" vertical="center"/>
    </xf>
    <xf numFmtId="186" fontId="69" fillId="34" borderId="1" xfId="2811" applyNumberFormat="1" applyFill="1" applyAlignment="1">
      <alignment horizontal="right" vertical="center"/>
    </xf>
    <xf numFmtId="0" fontId="69" fillId="0" borderId="1" xfId="2811"/>
    <xf numFmtId="49" fontId="174" fillId="0" borderId="1" xfId="2811" applyNumberFormat="1" applyFont="1" applyAlignment="1">
      <alignment horizontal="left" vertical="center"/>
    </xf>
    <xf numFmtId="49" fontId="69" fillId="0" borderId="1" xfId="2811" applyNumberFormat="1" applyAlignment="1">
      <alignment horizontal="left" vertical="center"/>
    </xf>
    <xf numFmtId="185" fontId="174" fillId="0" borderId="1" xfId="2811" applyNumberFormat="1" applyFont="1" applyAlignment="1">
      <alignment horizontal="right" vertical="center"/>
    </xf>
    <xf numFmtId="185" fontId="69" fillId="0" borderId="1" xfId="2811" applyNumberFormat="1" applyAlignment="1">
      <alignment horizontal="right" vertical="center"/>
    </xf>
    <xf numFmtId="186" fontId="174" fillId="0" borderId="1" xfId="2811" applyNumberFormat="1" applyFont="1" applyAlignment="1">
      <alignment horizontal="right" vertical="center"/>
    </xf>
    <xf numFmtId="186" fontId="69" fillId="0" borderId="1" xfId="2811" applyNumberFormat="1" applyAlignment="1">
      <alignment horizontal="right" vertical="center"/>
    </xf>
    <xf numFmtId="49" fontId="133" fillId="0" borderId="1" xfId="4224" applyNumberFormat="1" applyFont="1" applyAlignment="1">
      <alignment horizontal="center" vertical="center"/>
    </xf>
    <xf numFmtId="186" fontId="69" fillId="34" borderId="1" xfId="5565" applyNumberFormat="1" applyFill="1" applyAlignment="1">
      <alignment horizontal="right" vertical="center"/>
    </xf>
    <xf numFmtId="0" fontId="69" fillId="0" borderId="1" xfId="5565"/>
    <xf numFmtId="49" fontId="174" fillId="0" borderId="1" xfId="5565" applyNumberFormat="1" applyFont="1" applyAlignment="1">
      <alignment horizontal="left" vertical="center"/>
    </xf>
    <xf numFmtId="49" fontId="69" fillId="0" borderId="1" xfId="5565" applyNumberFormat="1" applyAlignment="1">
      <alignment horizontal="left" vertical="center"/>
    </xf>
    <xf numFmtId="185" fontId="174" fillId="0" borderId="1" xfId="5565" applyNumberFormat="1" applyFont="1" applyAlignment="1">
      <alignment horizontal="right" vertical="center"/>
    </xf>
    <xf numFmtId="185" fontId="69" fillId="0" borderId="1" xfId="5565" applyNumberFormat="1" applyAlignment="1">
      <alignment horizontal="right" vertical="center"/>
    </xf>
    <xf numFmtId="186" fontId="174" fillId="0" borderId="1" xfId="5565" applyNumberFormat="1" applyFont="1" applyAlignment="1">
      <alignment horizontal="right" vertical="center"/>
    </xf>
    <xf numFmtId="186" fontId="69" fillId="0" borderId="1" xfId="5565" applyNumberFormat="1" applyAlignment="1">
      <alignment horizontal="right" vertical="center"/>
    </xf>
    <xf numFmtId="49" fontId="133" fillId="0" borderId="1" xfId="5551" applyNumberFormat="1" applyFont="1" applyAlignment="1">
      <alignment horizontal="center" vertical="center"/>
    </xf>
    <xf numFmtId="165" fontId="119" fillId="0" borderId="8" xfId="0" applyNumberFormat="1" applyFont="1" applyBorder="1"/>
    <xf numFmtId="165" fontId="118" fillId="0" borderId="0" xfId="0" applyNumberFormat="1" applyFont="1"/>
    <xf numFmtId="43" fontId="123" fillId="0" borderId="0" xfId="1" applyFont="1"/>
    <xf numFmtId="10" fontId="123" fillId="0" borderId="0" xfId="2" applyNumberFormat="1" applyFont="1"/>
    <xf numFmtId="3" fontId="119" fillId="0" borderId="1" xfId="0" applyNumberFormat="1" applyFont="1" applyBorder="1"/>
    <xf numFmtId="3" fontId="119" fillId="0" borderId="20" xfId="0" applyNumberFormat="1" applyFont="1" applyBorder="1"/>
    <xf numFmtId="3" fontId="119" fillId="0" borderId="23" xfId="0" applyNumberFormat="1" applyFont="1" applyBorder="1"/>
    <xf numFmtId="0" fontId="66" fillId="0" borderId="1" xfId="5626"/>
    <xf numFmtId="2" fontId="178" fillId="0" borderId="1" xfId="5626" applyNumberFormat="1" applyFont="1" applyAlignment="1">
      <alignment horizontal="center"/>
    </xf>
    <xf numFmtId="0" fontId="178" fillId="0" borderId="1" xfId="5626" applyFont="1"/>
    <xf numFmtId="2" fontId="66" fillId="0" borderId="1" xfId="5626" applyNumberFormat="1" applyAlignment="1">
      <alignment horizontal="center"/>
    </xf>
    <xf numFmtId="0" fontId="179" fillId="0" borderId="1" xfId="5626" applyFont="1"/>
    <xf numFmtId="2" fontId="176" fillId="38" borderId="198" xfId="5626" applyNumberFormat="1" applyFont="1" applyFill="1" applyBorder="1" applyAlignment="1">
      <alignment horizontal="center"/>
    </xf>
    <xf numFmtId="2" fontId="176" fillId="38" borderId="200" xfId="5626" applyNumberFormat="1" applyFont="1" applyFill="1" applyBorder="1" applyAlignment="1">
      <alignment horizontal="center"/>
    </xf>
    <xf numFmtId="0" fontId="66" fillId="0" borderId="160" xfId="5626" applyBorder="1"/>
    <xf numFmtId="0" fontId="66" fillId="0" borderId="201" xfId="5626" applyBorder="1"/>
    <xf numFmtId="0" fontId="176" fillId="0" borderId="202" xfId="5627" applyFont="1" applyBorder="1"/>
    <xf numFmtId="0" fontId="66" fillId="29" borderId="203" xfId="5626" applyFill="1" applyBorder="1"/>
    <xf numFmtId="37" fontId="176" fillId="0" borderId="198" xfId="5626" applyNumberFormat="1" applyFont="1" applyBorder="1" applyAlignment="1">
      <alignment horizontal="center"/>
    </xf>
    <xf numFmtId="37" fontId="176" fillId="0" borderId="200" xfId="5626" applyNumberFormat="1" applyFont="1" applyBorder="1" applyAlignment="1">
      <alignment horizontal="center"/>
    </xf>
    <xf numFmtId="175" fontId="176" fillId="0" borderId="200" xfId="5628" applyNumberFormat="1" applyFont="1" applyBorder="1" applyAlignment="1">
      <alignment horizontal="center"/>
    </xf>
    <xf numFmtId="0" fontId="177" fillId="0" borderId="1" xfId="5626" applyFont="1"/>
    <xf numFmtId="0" fontId="66" fillId="0" borderId="202" xfId="5626" applyBorder="1"/>
    <xf numFmtId="0" fontId="66"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5" fontId="0" fillId="0" borderId="206" xfId="5628" applyNumberFormat="1" applyFont="1" applyBorder="1" applyAlignment="1">
      <alignment horizontal="center" vertical="center"/>
    </xf>
    <xf numFmtId="0" fontId="66" fillId="0" borderId="203" xfId="5626" applyBorder="1" applyAlignment="1">
      <alignment horizontal="left"/>
    </xf>
    <xf numFmtId="37" fontId="66" fillId="0" borderId="204" xfId="5626" applyNumberFormat="1" applyBorder="1" applyAlignment="1">
      <alignment horizontal="center"/>
    </xf>
    <xf numFmtId="37" fontId="66" fillId="0" borderId="201" xfId="5626" applyNumberFormat="1" applyBorder="1" applyAlignment="1">
      <alignment horizontal="center"/>
    </xf>
    <xf numFmtId="175" fontId="0" fillId="0" borderId="201" xfId="5628" applyNumberFormat="1" applyFont="1" applyBorder="1" applyAlignment="1">
      <alignment horizontal="center" vertical="center"/>
    </xf>
    <xf numFmtId="0" fontId="176" fillId="0" borderId="203" xfId="5626" applyFont="1" applyBorder="1"/>
    <xf numFmtId="37" fontId="176" fillId="0" borderId="204" xfId="5629" applyNumberFormat="1" applyFont="1" applyBorder="1" applyAlignment="1">
      <alignment horizontal="center"/>
    </xf>
    <xf numFmtId="37" fontId="176" fillId="0" borderId="201" xfId="5629" applyNumberFormat="1" applyFont="1" applyBorder="1" applyAlignment="1">
      <alignment horizontal="center"/>
    </xf>
    <xf numFmtId="175" fontId="0" fillId="0" borderId="204" xfId="5628" applyNumberFormat="1" applyFont="1" applyBorder="1" applyAlignment="1">
      <alignment horizontal="center"/>
    </xf>
    <xf numFmtId="175" fontId="0" fillId="0" borderId="201" xfId="5628" applyNumberFormat="1" applyFont="1" applyBorder="1" applyAlignment="1">
      <alignment horizontal="center"/>
    </xf>
    <xf numFmtId="0" fontId="66" fillId="0" borderId="202" xfId="5626" applyBorder="1" applyAlignment="1">
      <alignment horizontal="left"/>
    </xf>
    <xf numFmtId="37" fontId="0" fillId="0" borderId="206" xfId="5629" applyNumberFormat="1" applyFont="1" applyFill="1" applyBorder="1" applyAlignment="1">
      <alignment horizontal="center"/>
    </xf>
    <xf numFmtId="0" fontId="177" fillId="0" borderId="204" xfId="5626" applyFont="1" applyBorder="1"/>
    <xf numFmtId="175" fontId="0" fillId="0" borderId="207" xfId="5628" applyNumberFormat="1" applyFont="1" applyBorder="1" applyAlignment="1">
      <alignment horizontal="center"/>
    </xf>
    <xf numFmtId="175"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6" fillId="0" borderId="209" xfId="5626" applyBorder="1" applyAlignment="1">
      <alignment horizontal="left"/>
    </xf>
    <xf numFmtId="0" fontId="66" fillId="0" borderId="204" xfId="5626" applyBorder="1"/>
    <xf numFmtId="175" fontId="0" fillId="0" borderId="208" xfId="5628" applyNumberFormat="1" applyFont="1" applyBorder="1" applyAlignment="1">
      <alignment horizontal="center"/>
    </xf>
    <xf numFmtId="2" fontId="66" fillId="0" borderId="208" xfId="5626" applyNumberFormat="1" applyBorder="1" applyAlignment="1">
      <alignment horizontal="center"/>
    </xf>
    <xf numFmtId="0" fontId="66" fillId="0" borderId="1" xfId="5626" applyAlignment="1">
      <alignment horizontal="left"/>
    </xf>
    <xf numFmtId="2" fontId="0" fillId="0" borderId="1" xfId="5629" applyNumberFormat="1" applyFont="1" applyBorder="1" applyAlignment="1">
      <alignment horizontal="center"/>
    </xf>
    <xf numFmtId="37" fontId="176" fillId="0" borderId="207" xfId="5629" applyNumberFormat="1" applyFont="1" applyBorder="1" applyAlignment="1">
      <alignment horizontal="center"/>
    </xf>
    <xf numFmtId="37" fontId="180" fillId="0" borderId="205" xfId="5629" applyNumberFormat="1" applyFont="1" applyBorder="1" applyAlignment="1">
      <alignment horizontal="center"/>
    </xf>
    <xf numFmtId="0" fontId="176" fillId="0" borderId="209" xfId="5626" applyFont="1" applyBorder="1"/>
    <xf numFmtId="37" fontId="176" fillId="0" borderId="208" xfId="5629" applyNumberFormat="1" applyFont="1" applyBorder="1" applyAlignment="1">
      <alignment horizontal="center"/>
    </xf>
    <xf numFmtId="0" fontId="175" fillId="0" borderId="1" xfId="5626" applyFont="1"/>
    <xf numFmtId="0" fontId="66" fillId="29" borderId="210" xfId="5626" applyFill="1" applyBorder="1"/>
    <xf numFmtId="0" fontId="176" fillId="0" borderId="1" xfId="5626" applyFont="1"/>
    <xf numFmtId="0" fontId="66" fillId="0" borderId="1" xfId="5626" applyAlignment="1">
      <alignment horizontal="center"/>
    </xf>
    <xf numFmtId="2" fontId="175" fillId="0" borderId="1" xfId="5626" applyNumberFormat="1" applyFont="1" applyAlignment="1">
      <alignment horizontal="center"/>
    </xf>
    <xf numFmtId="2" fontId="66" fillId="0" borderId="1" xfId="5626" applyNumberFormat="1"/>
    <xf numFmtId="1" fontId="109" fillId="36" borderId="209" xfId="5626" applyNumberFormat="1" applyFont="1" applyFill="1" applyBorder="1" applyAlignment="1">
      <alignment horizontal="left" vertical="top"/>
    </xf>
    <xf numFmtId="187" fontId="66" fillId="33" borderId="1" xfId="5626" applyNumberFormat="1" applyFill="1" applyAlignment="1">
      <alignment horizontal="center"/>
    </xf>
    <xf numFmtId="0" fontId="176" fillId="0" borderId="1" xfId="5626" applyFont="1" applyAlignment="1">
      <alignment horizontal="center" vertical="center"/>
    </xf>
    <xf numFmtId="0" fontId="176" fillId="0" borderId="202" xfId="5626" applyFont="1" applyBorder="1" applyAlignment="1">
      <alignment horizontal="center" vertical="center"/>
    </xf>
    <xf numFmtId="0" fontId="176" fillId="0" borderId="210" xfId="5626" applyFont="1" applyBorder="1" applyAlignment="1">
      <alignment horizontal="center" vertical="center"/>
    </xf>
    <xf numFmtId="0" fontId="176" fillId="0" borderId="210" xfId="5626" applyFont="1" applyBorder="1" applyAlignment="1">
      <alignment horizontal="center" wrapText="1"/>
    </xf>
    <xf numFmtId="0" fontId="66" fillId="0" borderId="1" xfId="5626" applyAlignment="1">
      <alignment horizontal="center" vertical="center"/>
    </xf>
    <xf numFmtId="0" fontId="176" fillId="0" borderId="202" xfId="5626" applyFont="1" applyBorder="1" applyAlignment="1">
      <alignment horizontal="center"/>
    </xf>
    <xf numFmtId="3" fontId="66" fillId="36" borderId="203" xfId="5626" applyNumberFormat="1" applyFill="1" applyBorder="1" applyAlignment="1">
      <alignment horizontal="center"/>
    </xf>
    <xf numFmtId="2" fontId="176" fillId="0" borderId="203" xfId="5626" applyNumberFormat="1" applyFont="1" applyBorder="1" applyAlignment="1">
      <alignment horizontal="center"/>
    </xf>
    <xf numFmtId="0" fontId="176" fillId="0" borderId="203" xfId="5626" applyFont="1" applyBorder="1" applyAlignment="1">
      <alignment horizontal="center"/>
    </xf>
    <xf numFmtId="0" fontId="176" fillId="0" borderId="209" xfId="5626" applyFont="1" applyBorder="1" applyAlignment="1">
      <alignment horizontal="center"/>
    </xf>
    <xf numFmtId="3" fontId="66" fillId="36" borderId="209" xfId="5626" applyNumberFormat="1" applyFill="1" applyBorder="1" applyAlignment="1">
      <alignment horizontal="center"/>
    </xf>
    <xf numFmtId="175" fontId="119" fillId="0" borderId="0" xfId="2" applyNumberFormat="1" applyFont="1"/>
    <xf numFmtId="175" fontId="119" fillId="0" borderId="8" xfId="2" applyNumberFormat="1" applyFont="1" applyBorder="1"/>
    <xf numFmtId="175" fontId="119" fillId="0" borderId="93" xfId="2" applyNumberFormat="1" applyFont="1" applyBorder="1"/>
    <xf numFmtId="175" fontId="112" fillId="3" borderId="35" xfId="2" applyNumberFormat="1" applyFont="1" applyFill="1" applyBorder="1"/>
    <xf numFmtId="175" fontId="120" fillId="0" borderId="71" xfId="2" applyNumberFormat="1" applyFont="1" applyBorder="1"/>
    <xf numFmtId="175" fontId="120" fillId="0" borderId="85" xfId="2" applyNumberFormat="1" applyFont="1" applyBorder="1"/>
    <xf numFmtId="175" fontId="120" fillId="0" borderId="14" xfId="2" applyNumberFormat="1" applyFont="1" applyBorder="1"/>
    <xf numFmtId="175" fontId="120" fillId="0" borderId="0" xfId="2" applyNumberFormat="1" applyFont="1"/>
    <xf numFmtId="187" fontId="66" fillId="0" borderId="1" xfId="5626" applyNumberFormat="1"/>
    <xf numFmtId="4" fontId="109" fillId="36" borderId="0" xfId="0" applyNumberFormat="1" applyFont="1" applyFill="1" applyAlignment="1">
      <alignment horizontal="center" vertical="top"/>
    </xf>
    <xf numFmtId="10" fontId="109" fillId="0" borderId="195" xfId="0" applyNumberFormat="1" applyFont="1" applyBorder="1" applyAlignment="1">
      <alignment horizontal="center"/>
    </xf>
    <xf numFmtId="49" fontId="182" fillId="23" borderId="143" xfId="11272" applyNumberFormat="1" applyFill="1" applyBorder="1" applyAlignment="1">
      <alignment horizontal="left" vertical="top"/>
    </xf>
    <xf numFmtId="185" fontId="55" fillId="36" borderId="1" xfId="11277" applyNumberFormat="1" applyFill="1" applyAlignment="1">
      <alignment horizontal="right" vertical="center"/>
    </xf>
    <xf numFmtId="0" fontId="54" fillId="0" borderId="0" xfId="0" applyFont="1"/>
    <xf numFmtId="9" fontId="119" fillId="0" borderId="0" xfId="2" applyFont="1" applyAlignment="1">
      <alignment horizontal="right"/>
    </xf>
    <xf numFmtId="9" fontId="119" fillId="0" borderId="0" xfId="2" applyFont="1"/>
    <xf numFmtId="9" fontId="119" fillId="0" borderId="8" xfId="2" applyFont="1" applyFill="1" applyBorder="1"/>
    <xf numFmtId="175" fontId="119" fillId="0" borderId="0" xfId="2" applyNumberFormat="1" applyFont="1" applyFill="1"/>
    <xf numFmtId="0" fontId="51" fillId="0" borderId="1" xfId="11280"/>
    <xf numFmtId="49" fontId="133" fillId="0" borderId="204" xfId="11280" applyNumberFormat="1" applyFont="1" applyBorder="1" applyAlignment="1">
      <alignment horizontal="center" vertical="center"/>
    </xf>
    <xf numFmtId="49" fontId="133" fillId="0" borderId="1" xfId="11280" applyNumberFormat="1" applyFont="1" applyAlignment="1">
      <alignment horizontal="center" vertical="center"/>
    </xf>
    <xf numFmtId="3" fontId="133" fillId="0" borderId="1" xfId="11280" applyNumberFormat="1" applyFont="1" applyAlignment="1">
      <alignment horizontal="center" vertical="center"/>
    </xf>
    <xf numFmtId="49" fontId="133" fillId="0" borderId="201" xfId="11280" applyNumberFormat="1" applyFont="1" applyBorder="1" applyAlignment="1">
      <alignment horizontal="center" vertical="center"/>
    </xf>
    <xf numFmtId="0" fontId="51" fillId="0" borderId="204" xfId="11280" applyBorder="1" applyAlignment="1">
      <alignment horizontal="center"/>
    </xf>
    <xf numFmtId="0" fontId="51" fillId="0" borderId="1" xfId="11280" applyAlignment="1">
      <alignment horizontal="center"/>
    </xf>
    <xf numFmtId="3" fontId="51" fillId="0" borderId="1" xfId="11280" applyNumberFormat="1" applyAlignment="1">
      <alignment horizontal="center"/>
    </xf>
    <xf numFmtId="0" fontId="51" fillId="0" borderId="201" xfId="11280" applyBorder="1" applyAlignment="1">
      <alignment horizontal="center"/>
    </xf>
    <xf numFmtId="0" fontId="155" fillId="39" borderId="143" xfId="0" applyFont="1" applyFill="1" applyBorder="1" applyAlignment="1">
      <alignment horizontal="left" vertical="top"/>
    </xf>
    <xf numFmtId="0" fontId="156" fillId="39" borderId="143" xfId="0" applyFont="1" applyFill="1" applyBorder="1" applyAlignment="1">
      <alignment horizontal="left" vertical="top"/>
    </xf>
    <xf numFmtId="49" fontId="155" fillId="39" borderId="143" xfId="0" applyNumberFormat="1" applyFont="1" applyFill="1" applyBorder="1" applyAlignment="1">
      <alignment horizontal="left" vertical="top"/>
    </xf>
    <xf numFmtId="9" fontId="121" fillId="0" borderId="0" xfId="2" applyFont="1"/>
    <xf numFmtId="0" fontId="50" fillId="0" borderId="1" xfId="11280" applyFont="1" applyAlignment="1">
      <alignment horizontal="center"/>
    </xf>
    <xf numFmtId="0" fontId="50" fillId="0" borderId="201" xfId="11280" applyFont="1" applyBorder="1" applyAlignment="1">
      <alignment horizontal="center"/>
    </xf>
    <xf numFmtId="0" fontId="46" fillId="0" borderId="0" xfId="0" applyFont="1"/>
    <xf numFmtId="43" fontId="66" fillId="0" borderId="1" xfId="1" applyFont="1" applyBorder="1"/>
    <xf numFmtId="43" fontId="66" fillId="0" borderId="1" xfId="1" applyFont="1" applyBorder="1" applyAlignment="1">
      <alignment horizontal="center"/>
    </xf>
    <xf numFmtId="165" fontId="66" fillId="0" borderId="1" xfId="5626" applyNumberFormat="1"/>
    <xf numFmtId="0" fontId="122" fillId="3" borderId="127" xfId="0" applyFont="1" applyFill="1" applyBorder="1"/>
    <xf numFmtId="0" fontId="122" fillId="3" borderId="128" xfId="0" applyFont="1" applyFill="1" applyBorder="1"/>
    <xf numFmtId="0" fontId="122" fillId="3" borderId="128" xfId="0" applyFont="1" applyFill="1" applyBorder="1" applyAlignment="1">
      <alignment horizontal="center"/>
    </xf>
    <xf numFmtId="175" fontId="122" fillId="3" borderId="128" xfId="0" applyNumberFormat="1" applyFont="1" applyFill="1" applyBorder="1"/>
    <xf numFmtId="37" fontId="122" fillId="3" borderId="128" xfId="0" applyNumberFormat="1" applyFont="1" applyFill="1" applyBorder="1"/>
    <xf numFmtId="175" fontId="122" fillId="3" borderId="129" xfId="0" applyNumberFormat="1" applyFont="1" applyFill="1" applyBorder="1"/>
    <xf numFmtId="9" fontId="122" fillId="3" borderId="108" xfId="2" applyFont="1" applyFill="1" applyBorder="1"/>
    <xf numFmtId="3" fontId="112" fillId="3" borderId="27" xfId="0" applyNumberFormat="1" applyFont="1" applyFill="1" applyBorder="1"/>
    <xf numFmtId="0" fontId="34" fillId="0" borderId="1" xfId="11280" applyFont="1" applyAlignment="1">
      <alignment horizontal="center"/>
    </xf>
    <xf numFmtId="0" fontId="34" fillId="0" borderId="201" xfId="11280" applyFont="1" applyBorder="1" applyAlignment="1">
      <alignment horizontal="center"/>
    </xf>
    <xf numFmtId="9" fontId="119" fillId="0" borderId="14" xfId="2" applyFont="1" applyBorder="1" applyAlignment="1">
      <alignment horizontal="right"/>
    </xf>
    <xf numFmtId="0" fontId="24" fillId="0" borderId="0" xfId="0" applyFont="1"/>
    <xf numFmtId="3" fontId="34" fillId="0" borderId="0" xfId="0" applyNumberFormat="1" applyFont="1"/>
    <xf numFmtId="0" fontId="19" fillId="0" borderId="1" xfId="11280" applyFont="1" applyAlignment="1">
      <alignment horizontal="center"/>
    </xf>
    <xf numFmtId="175" fontId="119" fillId="0" borderId="1" xfId="0" applyNumberFormat="1" applyFont="1" applyBorder="1"/>
    <xf numFmtId="0" fontId="14" fillId="0" borderId="1" xfId="11280" applyFont="1" applyAlignment="1">
      <alignment horizontal="center"/>
    </xf>
    <xf numFmtId="0" fontId="5" fillId="0" borderId="1" xfId="11280" applyFont="1" applyAlignment="1">
      <alignment horizontal="center"/>
    </xf>
    <xf numFmtId="0" fontId="5" fillId="0" borderId="201" xfId="11280" applyFont="1" applyBorder="1" applyAlignment="1">
      <alignment horizontal="center"/>
    </xf>
    <xf numFmtId="172" fontId="120" fillId="0" borderId="73" xfId="0" applyNumberFormat="1" applyFont="1" applyBorder="1"/>
    <xf numFmtId="0" fontId="163" fillId="29" borderId="214" xfId="0" applyFont="1" applyFill="1" applyBorder="1"/>
    <xf numFmtId="0" fontId="162" fillId="29" borderId="214" xfId="0" applyFont="1" applyFill="1" applyBorder="1"/>
    <xf numFmtId="3" fontId="162" fillId="29" borderId="214" xfId="0" applyNumberFormat="1" applyFont="1" applyFill="1" applyBorder="1"/>
    <xf numFmtId="3" fontId="162" fillId="29" borderId="215" xfId="0" applyNumberFormat="1" applyFont="1" applyFill="1" applyBorder="1"/>
    <xf numFmtId="3" fontId="162" fillId="29" borderId="216" xfId="0" applyNumberFormat="1" applyFont="1" applyFill="1" applyBorder="1"/>
    <xf numFmtId="0" fontId="162" fillId="29" borderId="159" xfId="0" applyFont="1" applyFill="1" applyBorder="1"/>
    <xf numFmtId="3" fontId="163" fillId="29" borderId="214" xfId="0" applyNumberFormat="1" applyFont="1" applyFill="1" applyBorder="1"/>
    <xf numFmtId="3" fontId="163" fillId="29" borderId="215" xfId="0" applyNumberFormat="1" applyFont="1" applyFill="1" applyBorder="1"/>
    <xf numFmtId="3" fontId="163" fillId="29" borderId="216" xfId="0" applyNumberFormat="1" applyFont="1" applyFill="1" applyBorder="1"/>
    <xf numFmtId="0" fontId="162" fillId="29" borderId="156" xfId="0" applyFont="1" applyFill="1" applyBorder="1"/>
    <xf numFmtId="0" fontId="162" fillId="30" borderId="162" xfId="0" applyFont="1" applyFill="1" applyBorder="1"/>
    <xf numFmtId="0" fontId="162" fillId="29" borderId="154" xfId="0" applyFont="1" applyFill="1" applyBorder="1" applyAlignment="1">
      <alignment horizontal="left"/>
    </xf>
    <xf numFmtId="0" fontId="162" fillId="30" borderId="217" xfId="0" applyFont="1" applyFill="1" applyBorder="1"/>
    <xf numFmtId="0" fontId="162" fillId="30" borderId="217" xfId="0" applyFont="1" applyFill="1" applyBorder="1" applyAlignment="1">
      <alignment horizontal="center"/>
    </xf>
    <xf numFmtId="175" fontId="162" fillId="30" borderId="218" xfId="0" applyNumberFormat="1" applyFont="1" applyFill="1" applyBorder="1"/>
    <xf numFmtId="37" fontId="162" fillId="30" borderId="219" xfId="0" applyNumberFormat="1" applyFont="1" applyFill="1" applyBorder="1"/>
    <xf numFmtId="0" fontId="167" fillId="29" borderId="154" xfId="0" applyFont="1" applyFill="1" applyBorder="1"/>
    <xf numFmtId="0" fontId="167" fillId="29" borderId="156" xfId="0" applyFont="1" applyFill="1" applyBorder="1"/>
    <xf numFmtId="0" fontId="163" fillId="29" borderId="215" xfId="0" applyFont="1" applyFill="1" applyBorder="1"/>
    <xf numFmtId="37" fontId="163" fillId="29" borderId="216" xfId="0" applyNumberFormat="1" applyFont="1" applyFill="1" applyBorder="1"/>
    <xf numFmtId="37" fontId="163" fillId="29" borderId="216" xfId="0" applyNumberFormat="1" applyFont="1" applyFill="1" applyBorder="1" applyProtection="1">
      <protection locked="0"/>
    </xf>
    <xf numFmtId="0" fontId="167" fillId="31" borderId="154" xfId="0" applyFont="1" applyFill="1" applyBorder="1"/>
    <xf numFmtId="0" fontId="162" fillId="30" borderId="220" xfId="0" applyFont="1" applyFill="1" applyBorder="1"/>
    <xf numFmtId="37" fontId="162" fillId="30" borderId="221" xfId="0" applyNumberFormat="1" applyFont="1" applyFill="1" applyBorder="1"/>
    <xf numFmtId="0" fontId="162" fillId="30" borderId="211" xfId="0" applyFont="1" applyFill="1" applyBorder="1"/>
    <xf numFmtId="175" fontId="162" fillId="30" borderId="222" xfId="0" applyNumberFormat="1" applyFont="1" applyFill="1" applyBorder="1"/>
    <xf numFmtId="0" fontId="162" fillId="30" borderId="223" xfId="0" applyFont="1" applyFill="1" applyBorder="1"/>
    <xf numFmtId="0" fontId="163" fillId="30" borderId="223" xfId="0" applyFont="1" applyFill="1" applyBorder="1"/>
    <xf numFmtId="10" fontId="163" fillId="30" borderId="224" xfId="2" applyNumberFormat="1" applyFont="1" applyFill="1" applyBorder="1"/>
    <xf numFmtId="37" fontId="162" fillId="30" borderId="225" xfId="0" applyNumberFormat="1" applyFont="1" applyFill="1" applyBorder="1"/>
    <xf numFmtId="0" fontId="163" fillId="30" borderId="224" xfId="0" applyFont="1" applyFill="1" applyBorder="1"/>
    <xf numFmtId="0" fontId="183" fillId="29" borderId="0" xfId="0" applyFont="1" applyFill="1"/>
    <xf numFmtId="173" fontId="165" fillId="29" borderId="0" xfId="0" applyNumberFormat="1" applyFont="1" applyFill="1" applyAlignment="1">
      <alignment horizontal="left"/>
    </xf>
    <xf numFmtId="175" fontId="163" fillId="29" borderId="154" xfId="2" applyNumberFormat="1" applyFont="1" applyFill="1" applyBorder="1"/>
    <xf numFmtId="0" fontId="162" fillId="30" borderId="220" xfId="0" applyFont="1" applyFill="1" applyBorder="1" applyAlignment="1">
      <alignment horizontal="center"/>
    </xf>
    <xf numFmtId="175" fontId="162" fillId="30" borderId="226" xfId="0" applyNumberFormat="1" applyFont="1" applyFill="1" applyBorder="1"/>
    <xf numFmtId="10" fontId="162" fillId="30" borderId="224" xfId="2" applyNumberFormat="1" applyFont="1" applyFill="1" applyBorder="1"/>
    <xf numFmtId="0" fontId="162" fillId="30" borderId="224" xfId="0" applyFont="1" applyFill="1" applyBorder="1"/>
    <xf numFmtId="37" fontId="163" fillId="29" borderId="214" xfId="0" applyNumberFormat="1" applyFont="1" applyFill="1" applyBorder="1"/>
    <xf numFmtId="37" fontId="163" fillId="29" borderId="215" xfId="0" applyNumberFormat="1" applyFont="1" applyFill="1" applyBorder="1"/>
    <xf numFmtId="37" fontId="163" fillId="29" borderId="214" xfId="0" applyNumberFormat="1" applyFont="1" applyFill="1" applyBorder="1" applyProtection="1">
      <protection locked="0"/>
    </xf>
    <xf numFmtId="37" fontId="163" fillId="29" borderId="215" xfId="0" applyNumberFormat="1" applyFont="1" applyFill="1" applyBorder="1" applyProtection="1">
      <protection locked="0"/>
    </xf>
    <xf numFmtId="0" fontId="162" fillId="31" borderId="162" xfId="0" applyFont="1" applyFill="1" applyBorder="1"/>
    <xf numFmtId="0" fontId="162" fillId="31" borderId="156" xfId="0" applyFont="1" applyFill="1" applyBorder="1"/>
    <xf numFmtId="0" fontId="162" fillId="31" borderId="214" xfId="0" applyFont="1" applyFill="1" applyBorder="1"/>
    <xf numFmtId="37" fontId="163" fillId="29" borderId="227" xfId="0" applyNumberFormat="1" applyFont="1" applyFill="1" applyBorder="1"/>
    <xf numFmtId="0" fontId="163" fillId="31" borderId="154" xfId="0" applyFont="1" applyFill="1" applyBorder="1"/>
    <xf numFmtId="172" fontId="163" fillId="29" borderId="0" xfId="1" applyNumberFormat="1" applyFont="1" applyFill="1"/>
    <xf numFmtId="172" fontId="163" fillId="29" borderId="0" xfId="1" applyNumberFormat="1" applyFont="1" applyFill="1" applyProtection="1">
      <protection locked="0"/>
    </xf>
    <xf numFmtId="0" fontId="163" fillId="31" borderId="228" xfId="0" applyFont="1" applyFill="1" applyBorder="1"/>
    <xf numFmtId="172" fontId="163" fillId="29" borderId="215" xfId="1" applyNumberFormat="1" applyFont="1" applyFill="1" applyBorder="1"/>
    <xf numFmtId="37" fontId="162" fillId="31" borderId="214" xfId="0" applyNumberFormat="1" applyFont="1" applyFill="1" applyBorder="1"/>
    <xf numFmtId="174" fontId="162" fillId="31" borderId="215" xfId="0" applyNumberFormat="1" applyFont="1" applyFill="1" applyBorder="1"/>
    <xf numFmtId="37" fontId="162" fillId="31" borderId="216" xfId="0" applyNumberFormat="1" applyFont="1" applyFill="1" applyBorder="1"/>
    <xf numFmtId="175" fontId="162" fillId="30" borderId="224" xfId="2" applyNumberFormat="1" applyFont="1" applyFill="1" applyBorder="1"/>
    <xf numFmtId="0" fontId="167" fillId="29" borderId="214" xfId="0" applyFont="1" applyFill="1" applyBorder="1"/>
    <xf numFmtId="0" fontId="162" fillId="30" borderId="229" xfId="0" applyFont="1" applyFill="1" applyBorder="1"/>
    <xf numFmtId="37" fontId="162" fillId="29" borderId="214" xfId="0" applyNumberFormat="1" applyFont="1" applyFill="1" applyBorder="1"/>
    <xf numFmtId="175" fontId="162" fillId="29" borderId="215" xfId="0" applyNumberFormat="1" applyFont="1" applyFill="1" applyBorder="1"/>
    <xf numFmtId="37" fontId="162" fillId="29" borderId="216" xfId="0" applyNumberFormat="1" applyFont="1" applyFill="1" applyBorder="1"/>
    <xf numFmtId="0" fontId="162" fillId="30" borderId="230" xfId="0" applyFont="1" applyFill="1" applyBorder="1"/>
    <xf numFmtId="37" fontId="162" fillId="30" borderId="230" xfId="0" applyNumberFormat="1" applyFont="1" applyFill="1" applyBorder="1"/>
    <xf numFmtId="174" fontId="162" fillId="30" borderId="231" xfId="0" applyNumberFormat="1" applyFont="1" applyFill="1" applyBorder="1"/>
    <xf numFmtId="37" fontId="162" fillId="30" borderId="232" xfId="0" applyNumberFormat="1" applyFont="1" applyFill="1" applyBorder="1"/>
    <xf numFmtId="43" fontId="162" fillId="30" borderId="224" xfId="1" applyFont="1" applyFill="1" applyBorder="1"/>
    <xf numFmtId="0" fontId="167" fillId="29" borderId="228" xfId="0" applyFont="1" applyFill="1" applyBorder="1"/>
    <xf numFmtId="0" fontId="162" fillId="30" borderId="170" xfId="0" applyFont="1" applyFill="1" applyBorder="1"/>
    <xf numFmtId="0" fontId="168" fillId="29" borderId="0" xfId="0" applyFont="1" applyFill="1" applyAlignment="1">
      <alignment horizontal="center" vertical="center"/>
    </xf>
    <xf numFmtId="0" fontId="162" fillId="29" borderId="233" xfId="0" applyFont="1" applyFill="1" applyBorder="1" applyAlignment="1">
      <alignment horizontal="center"/>
    </xf>
    <xf numFmtId="0" fontId="163" fillId="29" borderId="173" xfId="0" applyFont="1" applyFill="1" applyBorder="1"/>
    <xf numFmtId="0" fontId="168" fillId="30" borderId="173" xfId="0" applyFont="1" applyFill="1" applyBorder="1"/>
    <xf numFmtId="0" fontId="168" fillId="29" borderId="175" xfId="0" applyFont="1" applyFill="1" applyBorder="1"/>
    <xf numFmtId="0" fontId="168" fillId="30" borderId="234" xfId="0" applyFont="1" applyFill="1" applyBorder="1"/>
    <xf numFmtId="175" fontId="168" fillId="30" borderId="234" xfId="0" applyNumberFormat="1" applyFont="1" applyFill="1" applyBorder="1"/>
    <xf numFmtId="172" fontId="168" fillId="30" borderId="218" xfId="1" applyNumberFormat="1" applyFont="1" applyFill="1" applyBorder="1"/>
    <xf numFmtId="37" fontId="168" fillId="30" borderId="235" xfId="0" applyNumberFormat="1" applyFont="1" applyFill="1" applyBorder="1"/>
    <xf numFmtId="0" fontId="168" fillId="30" borderId="218" xfId="0" applyFont="1" applyFill="1" applyBorder="1"/>
    <xf numFmtId="0" fontId="167" fillId="31" borderId="175" xfId="0" applyFont="1" applyFill="1" applyBorder="1"/>
    <xf numFmtId="174" fontId="168" fillId="30" borderId="218" xfId="0" applyNumberFormat="1" applyFont="1" applyFill="1" applyBorder="1"/>
    <xf numFmtId="0" fontId="167" fillId="29" borderId="236" xfId="0" applyFont="1" applyFill="1" applyBorder="1"/>
    <xf numFmtId="174" fontId="167" fillId="29" borderId="215" xfId="0" applyNumberFormat="1" applyFont="1" applyFill="1" applyBorder="1"/>
    <xf numFmtId="37" fontId="167" fillId="29" borderId="237" xfId="0" applyNumberFormat="1" applyFont="1" applyFill="1" applyBorder="1"/>
    <xf numFmtId="0" fontId="167" fillId="29" borderId="176" xfId="0" applyFont="1" applyFill="1" applyBorder="1"/>
    <xf numFmtId="175" fontId="168" fillId="29" borderId="236" xfId="0" applyNumberFormat="1" applyFont="1" applyFill="1" applyBorder="1"/>
    <xf numFmtId="0" fontId="168" fillId="29" borderId="215" xfId="0" applyFont="1" applyFill="1" applyBorder="1"/>
    <xf numFmtId="37" fontId="167" fillId="31" borderId="237" xfId="0" applyNumberFormat="1" applyFont="1" applyFill="1" applyBorder="1"/>
    <xf numFmtId="0" fontId="167" fillId="30" borderId="218" xfId="0" applyFont="1" applyFill="1" applyBorder="1"/>
    <xf numFmtId="0" fontId="168" fillId="31" borderId="236" xfId="0" applyFont="1" applyFill="1" applyBorder="1"/>
    <xf numFmtId="0" fontId="167" fillId="31" borderId="215" xfId="0" applyFont="1" applyFill="1" applyBorder="1"/>
    <xf numFmtId="0" fontId="168" fillId="30" borderId="179" xfId="0" applyFont="1" applyFill="1" applyBorder="1"/>
    <xf numFmtId="0" fontId="168" fillId="30" borderId="238" xfId="0" applyFont="1" applyFill="1" applyBorder="1"/>
    <xf numFmtId="0" fontId="171" fillId="29" borderId="239" xfId="0" applyFont="1" applyFill="1" applyBorder="1"/>
    <xf numFmtId="0" fontId="167" fillId="29" borderId="239" xfId="0" applyFont="1" applyFill="1" applyBorder="1"/>
    <xf numFmtId="0" fontId="163" fillId="29" borderId="239" xfId="0" applyFont="1" applyFill="1" applyBorder="1"/>
    <xf numFmtId="0" fontId="163" fillId="29" borderId="240" xfId="0" applyFont="1" applyFill="1" applyBorder="1"/>
    <xf numFmtId="0" fontId="168" fillId="30" borderId="241" xfId="0" applyFont="1" applyFill="1" applyBorder="1"/>
    <xf numFmtId="37" fontId="162" fillId="29" borderId="164" xfId="0" applyNumberFormat="1" applyFont="1" applyFill="1" applyBorder="1"/>
    <xf numFmtId="0" fontId="162" fillId="29" borderId="167" xfId="0" applyFont="1" applyFill="1" applyBorder="1"/>
    <xf numFmtId="37" fontId="163" fillId="40" borderId="155" xfId="0" applyNumberFormat="1" applyFont="1" applyFill="1" applyBorder="1" applyProtection="1">
      <protection locked="0"/>
    </xf>
    <xf numFmtId="37" fontId="163" fillId="40" borderId="158" xfId="0" applyNumberFormat="1" applyFont="1" applyFill="1" applyBorder="1" applyProtection="1">
      <protection locked="0"/>
    </xf>
    <xf numFmtId="37" fontId="162" fillId="29" borderId="219" xfId="0" applyNumberFormat="1" applyFont="1" applyFill="1" applyBorder="1"/>
    <xf numFmtId="37" fontId="163" fillId="40" borderId="216" xfId="0" applyNumberFormat="1" applyFont="1" applyFill="1" applyBorder="1" applyProtection="1">
      <protection locked="0"/>
    </xf>
    <xf numFmtId="37" fontId="163" fillId="40" borderId="161" xfId="0" applyNumberFormat="1" applyFont="1" applyFill="1" applyBorder="1" applyProtection="1">
      <protection locked="0"/>
    </xf>
    <xf numFmtId="37" fontId="162" fillId="29" borderId="221" xfId="0" applyNumberFormat="1" applyFont="1" applyFill="1" applyBorder="1"/>
    <xf numFmtId="37" fontId="162" fillId="29" borderId="169" xfId="0" applyNumberFormat="1" applyFont="1" applyFill="1" applyBorder="1"/>
    <xf numFmtId="37" fontId="162" fillId="29" borderId="155" xfId="0" applyNumberFormat="1" applyFont="1" applyFill="1" applyBorder="1"/>
    <xf numFmtId="37" fontId="162" fillId="29" borderId="225" xfId="0" applyNumberFormat="1" applyFont="1" applyFill="1" applyBorder="1"/>
    <xf numFmtId="3" fontId="162" fillId="29" borderId="154" xfId="0" applyNumberFormat="1" applyFont="1" applyFill="1" applyBorder="1"/>
    <xf numFmtId="3" fontId="162" fillId="29" borderId="0" xfId="0" applyNumberFormat="1" applyFont="1" applyFill="1"/>
    <xf numFmtId="3" fontId="162" fillId="29" borderId="155" xfId="0" applyNumberFormat="1" applyFont="1" applyFill="1" applyBorder="1"/>
    <xf numFmtId="9" fontId="163" fillId="29" borderId="154" xfId="0" applyNumberFormat="1" applyFont="1" applyFill="1" applyBorder="1"/>
    <xf numFmtId="9" fontId="163" fillId="29" borderId="159" xfId="0" applyNumberFormat="1" applyFont="1" applyFill="1" applyBorder="1"/>
    <xf numFmtId="0" fontId="163" fillId="29" borderId="168" xfId="0" applyFont="1" applyFill="1" applyBorder="1" applyAlignment="1">
      <alignment horizontal="right"/>
    </xf>
    <xf numFmtId="37" fontId="163" fillId="36" borderId="0" xfId="0" applyNumberFormat="1" applyFont="1" applyFill="1" applyProtection="1">
      <protection locked="0"/>
    </xf>
    <xf numFmtId="37" fontId="163" fillId="36" borderId="155" xfId="0" applyNumberFormat="1" applyFont="1" applyFill="1" applyBorder="1" applyProtection="1">
      <protection locked="0"/>
    </xf>
    <xf numFmtId="174" fontId="163" fillId="29" borderId="215" xfId="0" applyNumberFormat="1" applyFont="1" applyFill="1" applyBorder="1" applyProtection="1">
      <protection locked="0"/>
    </xf>
    <xf numFmtId="37" fontId="163" fillId="0" borderId="214" xfId="0" applyNumberFormat="1" applyFont="1" applyBorder="1" applyProtection="1">
      <protection locked="0"/>
    </xf>
    <xf numFmtId="175" fontId="162" fillId="29" borderId="167" xfId="0" applyNumberFormat="1" applyFont="1" applyFill="1" applyBorder="1"/>
    <xf numFmtId="37" fontId="162" fillId="29" borderId="232" xfId="0" applyNumberFormat="1" applyFont="1" applyFill="1" applyBorder="1"/>
    <xf numFmtId="0" fontId="186" fillId="29" borderId="0" xfId="0" applyFont="1" applyFill="1"/>
    <xf numFmtId="37" fontId="163" fillId="36" borderId="216" xfId="0" applyNumberFormat="1" applyFont="1" applyFill="1" applyBorder="1" applyProtection="1">
      <protection locked="0"/>
    </xf>
    <xf numFmtId="37" fontId="163" fillId="40" borderId="158" xfId="0" applyNumberFormat="1" applyFont="1" applyFill="1" applyBorder="1"/>
    <xf numFmtId="37" fontId="162" fillId="29" borderId="172" xfId="0" applyNumberFormat="1" applyFont="1" applyFill="1" applyBorder="1"/>
    <xf numFmtId="37" fontId="168" fillId="29" borderId="174" xfId="0" applyNumberFormat="1" applyFont="1" applyFill="1" applyBorder="1"/>
    <xf numFmtId="37" fontId="168" fillId="29" borderId="235" xfId="0" applyNumberFormat="1" applyFont="1" applyFill="1" applyBorder="1"/>
    <xf numFmtId="37" fontId="167" fillId="40" borderId="176" xfId="0" applyNumberFormat="1" applyFont="1" applyFill="1" applyBorder="1" applyProtection="1">
      <protection locked="0"/>
    </xf>
    <xf numFmtId="37" fontId="167" fillId="36" borderId="176" xfId="0" applyNumberFormat="1" applyFont="1" applyFill="1" applyBorder="1"/>
    <xf numFmtId="37" fontId="167" fillId="36" borderId="176" xfId="0" applyNumberFormat="1" applyFont="1" applyFill="1" applyBorder="1" applyProtection="1">
      <protection locked="0"/>
    </xf>
    <xf numFmtId="37" fontId="167" fillId="36" borderId="174" xfId="0" applyNumberFormat="1" applyFont="1" applyFill="1" applyBorder="1" applyProtection="1">
      <protection locked="0"/>
    </xf>
    <xf numFmtId="37" fontId="167" fillId="41" borderId="237" xfId="0" applyNumberFormat="1" applyFont="1" applyFill="1" applyBorder="1"/>
    <xf numFmtId="0" fontId="170" fillId="31" borderId="236" xfId="0" applyFont="1" applyFill="1" applyBorder="1"/>
    <xf numFmtId="0" fontId="169" fillId="31" borderId="215" xfId="0" applyFont="1" applyFill="1" applyBorder="1"/>
    <xf numFmtId="37" fontId="169" fillId="31" borderId="237" xfId="0" applyNumberFormat="1" applyFont="1" applyFill="1" applyBorder="1"/>
    <xf numFmtId="37" fontId="169" fillId="29" borderId="237" xfId="0" applyNumberFormat="1" applyFont="1" applyFill="1" applyBorder="1"/>
    <xf numFmtId="37" fontId="168" fillId="29" borderId="183" xfId="0" applyNumberFormat="1" applyFont="1" applyFill="1" applyBorder="1"/>
    <xf numFmtId="37" fontId="168" fillId="29" borderId="186" xfId="0" applyNumberFormat="1" applyFont="1" applyFill="1" applyBorder="1"/>
    <xf numFmtId="37" fontId="168" fillId="29" borderId="189" xfId="0" applyNumberFormat="1" applyFont="1" applyFill="1" applyBorder="1"/>
    <xf numFmtId="185" fontId="4" fillId="36" borderId="1" xfId="11325" applyNumberFormat="1" applyFill="1" applyAlignment="1">
      <alignment horizontal="right" vertical="center"/>
    </xf>
    <xf numFmtId="0" fontId="4" fillId="0" borderId="0" xfId="0" applyFont="1"/>
    <xf numFmtId="185" fontId="2" fillId="36" borderId="1" xfId="11327" applyNumberFormat="1" applyFill="1" applyAlignment="1">
      <alignment horizontal="right" vertical="center"/>
    </xf>
    <xf numFmtId="0" fontId="2" fillId="36" borderId="1" xfId="11327" applyFill="1"/>
    <xf numFmtId="0" fontId="162" fillId="29" borderId="151" xfId="0" applyFont="1" applyFill="1" applyBorder="1" applyAlignment="1">
      <alignment horizontal="center"/>
    </xf>
    <xf numFmtId="0" fontId="162" fillId="29" borderId="152" xfId="0" applyFont="1" applyFill="1" applyBorder="1" applyAlignment="1">
      <alignment horizontal="center"/>
    </xf>
    <xf numFmtId="0" fontId="162" fillId="29" borderId="153" xfId="0" applyFont="1" applyFill="1" applyBorder="1" applyAlignment="1">
      <alignment horizontal="center"/>
    </xf>
    <xf numFmtId="0" fontId="108" fillId="8" borderId="44" xfId="0" applyFont="1" applyFill="1" applyBorder="1" applyAlignment="1">
      <alignment horizontal="center" vertical="center" wrapText="1"/>
    </xf>
    <xf numFmtId="0" fontId="116" fillId="0" borderId="49" xfId="0" applyFont="1" applyBorder="1"/>
    <xf numFmtId="0" fontId="132" fillId="9" borderId="50" xfId="0" applyFont="1" applyFill="1" applyBorder="1" applyAlignment="1">
      <alignment horizontal="center" vertical="center" wrapText="1"/>
    </xf>
    <xf numFmtId="0" fontId="116" fillId="0" borderId="51" xfId="0" applyFont="1" applyBorder="1"/>
    <xf numFmtId="0" fontId="110" fillId="13" borderId="89" xfId="0" applyFont="1" applyFill="1" applyBorder="1" applyAlignment="1">
      <alignment horizontal="left" vertical="top" wrapText="1"/>
    </xf>
    <xf numFmtId="0" fontId="116" fillId="0" borderId="69" xfId="0" applyFont="1" applyBorder="1"/>
    <xf numFmtId="0" fontId="116" fillId="0" borderId="83" xfId="0" applyFont="1" applyBorder="1"/>
    <xf numFmtId="0" fontId="132" fillId="0" borderId="14" xfId="0" applyFont="1" applyBorder="1" applyAlignment="1">
      <alignment horizontal="center"/>
    </xf>
    <xf numFmtId="0" fontId="116" fillId="0" borderId="14" xfId="0" applyFont="1" applyBorder="1"/>
    <xf numFmtId="0" fontId="112" fillId="0" borderId="17" xfId="0" applyFont="1" applyBorder="1" applyAlignment="1">
      <alignment horizontal="center"/>
    </xf>
    <xf numFmtId="0" fontId="116" fillId="0" borderId="17" xfId="0" applyFont="1" applyBorder="1"/>
    <xf numFmtId="0" fontId="116" fillId="0" borderId="4" xfId="0" applyFont="1" applyBorder="1"/>
    <xf numFmtId="0" fontId="112" fillId="0" borderId="16" xfId="0" applyFont="1" applyBorder="1" applyAlignment="1">
      <alignment horizontal="center"/>
    </xf>
    <xf numFmtId="0" fontId="116" fillId="0" borderId="18" xfId="0" applyFont="1" applyBorder="1"/>
    <xf numFmtId="0" fontId="112" fillId="0" borderId="3" xfId="0" applyFont="1" applyBorder="1" applyAlignment="1">
      <alignment horizontal="center"/>
    </xf>
    <xf numFmtId="0" fontId="112" fillId="0" borderId="104" xfId="0" applyFont="1" applyBorder="1" applyAlignment="1">
      <alignment horizontal="center" vertical="center"/>
    </xf>
    <xf numFmtId="0" fontId="116" fillId="0" borderId="102" xfId="0" applyFont="1" applyBorder="1"/>
    <xf numFmtId="0" fontId="116" fillId="0" borderId="105" xfId="0" applyFont="1" applyBorder="1"/>
    <xf numFmtId="0" fontId="112" fillId="0" borderId="102" xfId="0" applyFont="1" applyBorder="1" applyAlignment="1">
      <alignment horizontal="center" vertical="center"/>
    </xf>
    <xf numFmtId="0" fontId="116" fillId="0" borderId="103" xfId="0" applyFont="1" applyBorder="1"/>
    <xf numFmtId="0" fontId="178" fillId="0" borderId="211" xfId="11280" applyFont="1" applyBorder="1" applyAlignment="1">
      <alignment horizontal="center" wrapText="1"/>
    </xf>
    <xf numFmtId="0" fontId="178" fillId="0" borderId="212" xfId="11280" applyFont="1" applyBorder="1" applyAlignment="1">
      <alignment horizontal="center" wrapText="1"/>
    </xf>
    <xf numFmtId="0" fontId="178" fillId="0" borderId="213" xfId="11280" applyFont="1" applyBorder="1" applyAlignment="1">
      <alignment horizontal="center" wrapText="1"/>
    </xf>
    <xf numFmtId="0" fontId="176" fillId="0" borderId="198" xfId="5626" applyFont="1" applyBorder="1" applyAlignment="1">
      <alignment horizontal="center"/>
    </xf>
    <xf numFmtId="0" fontId="176" fillId="0" borderId="200" xfId="5626" applyFont="1" applyBorder="1" applyAlignment="1">
      <alignment horizontal="center"/>
    </xf>
    <xf numFmtId="0" fontId="178" fillId="0" borderId="1" xfId="5626" applyFont="1" applyAlignment="1">
      <alignment horizontal="left" vertical="center"/>
    </xf>
    <xf numFmtId="2" fontId="176" fillId="38" borderId="198" xfId="5626" applyNumberFormat="1" applyFont="1" applyFill="1" applyBorder="1" applyAlignment="1">
      <alignment horizontal="center"/>
    </xf>
    <xf numFmtId="2" fontId="176" fillId="38" borderId="199" xfId="5626" applyNumberFormat="1" applyFont="1" applyFill="1" applyBorder="1" applyAlignment="1">
      <alignment horizontal="center"/>
    </xf>
    <xf numFmtId="2" fontId="176" fillId="38" borderId="200" xfId="5626" applyNumberFormat="1" applyFont="1" applyFill="1" applyBorder="1" applyAlignment="1">
      <alignment horizontal="center"/>
    </xf>
    <xf numFmtId="2" fontId="176" fillId="38" borderId="198" xfId="5626" applyNumberFormat="1" applyFont="1" applyFill="1" applyBorder="1" applyAlignment="1">
      <alignment horizontal="center" wrapText="1"/>
    </xf>
    <xf numFmtId="2" fontId="176" fillId="38" borderId="199" xfId="5626" applyNumberFormat="1" applyFont="1" applyFill="1" applyBorder="1" applyAlignment="1">
      <alignment horizontal="center" wrapText="1"/>
    </xf>
    <xf numFmtId="2" fontId="176" fillId="38" borderId="200" xfId="5626" applyNumberFormat="1" applyFont="1" applyFill="1" applyBorder="1" applyAlignment="1">
      <alignment horizontal="center" wrapText="1"/>
    </xf>
    <xf numFmtId="0" fontId="176" fillId="0" borderId="1" xfId="5626" applyFont="1" applyAlignment="1">
      <alignment horizontal="center"/>
    </xf>
    <xf numFmtId="0" fontId="108" fillId="0" borderId="127" xfId="0" applyFont="1" applyBorder="1" applyAlignment="1">
      <alignment horizontal="center"/>
    </xf>
    <xf numFmtId="0" fontId="116" fillId="0" borderId="128" xfId="0" applyFont="1" applyBorder="1"/>
    <xf numFmtId="0" fontId="116" fillId="0" borderId="129" xfId="0" applyFont="1" applyBorder="1"/>
    <xf numFmtId="0" fontId="109" fillId="0" borderId="130" xfId="0" applyFont="1" applyBorder="1" applyAlignment="1">
      <alignment horizontal="center"/>
    </xf>
    <xf numFmtId="0" fontId="116" fillId="0" borderId="63" xfId="0" applyFont="1" applyBorder="1"/>
    <xf numFmtId="0" fontId="116" fillId="0" borderId="131" xfId="0" applyFont="1" applyBorder="1"/>
    <xf numFmtId="49" fontId="174" fillId="36" borderId="1" xfId="11328" applyNumberFormat="1" applyFont="1" applyFill="1" applyAlignment="1">
      <alignment horizontal="left" vertical="center"/>
    </xf>
    <xf numFmtId="185" fontId="174" fillId="36" borderId="1" xfId="11328" applyNumberFormat="1" applyFont="1" applyFill="1" applyAlignment="1">
      <alignment horizontal="right" vertical="center"/>
    </xf>
    <xf numFmtId="49" fontId="1" fillId="36" borderId="1" xfId="11328" applyNumberFormat="1" applyFill="1" applyAlignment="1">
      <alignment horizontal="left" vertical="center"/>
    </xf>
    <xf numFmtId="0" fontId="1" fillId="36" borderId="1" xfId="11328" applyFill="1"/>
    <xf numFmtId="185" fontId="1" fillId="36" borderId="1" xfId="11328" applyNumberFormat="1" applyFill="1" applyAlignment="1">
      <alignment horizontal="right" vertical="center"/>
    </xf>
  </cellXfs>
  <cellStyles count="11329">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-0.3%</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0 </c:v>
                  </c:pt>
                  <c:pt idx="9">
                    <c:v>0 </c:v>
                  </c:pt>
                  <c:pt idx="10">
                    <c:v>0.0%</c:v>
                  </c:pt>
                  <c:pt idx="13">
                    <c:v>(1,079)</c:v>
                  </c:pt>
                </c:lvl>
                <c:lvl>
                  <c:pt idx="0">
                    <c:v>21,977 </c:v>
                  </c:pt>
                  <c:pt idx="2">
                    <c:v>21,977 </c:v>
                  </c:pt>
                  <c:pt idx="3">
                    <c:v>0.0%</c:v>
                  </c:pt>
                  <c:pt idx="6">
                    <c:v>0 </c:v>
                  </c:pt>
                </c:lvl>
                <c:lvl>
                  <c:pt idx="0">
                    <c:v>0 </c:v>
                  </c:pt>
                  <c:pt idx="2">
                    <c:v>0 </c:v>
                  </c:pt>
                  <c:pt idx="3">
                    <c:v>0.0%</c:v>
                  </c:pt>
                  <c:pt idx="6">
                    <c:v>0 </c:v>
                  </c:pt>
                </c:lvl>
                <c:lvl>
                  <c:pt idx="0">
                    <c:v>9,517 </c:v>
                  </c:pt>
                  <c:pt idx="2">
                    <c:v>0 </c:v>
                  </c:pt>
                  <c:pt idx="3">
                    <c:v>0.0%</c:v>
                  </c:pt>
                  <c:pt idx="6">
                    <c:v>42,648 </c:v>
                  </c:pt>
                </c:lvl>
              </c:multiLvlStrCache>
            </c:multiLvlStrRef>
          </c:cat>
          <c:val>
            <c:numRef>
              <c:f>Print_Mois!$AF$498:$AL$498</c:f>
              <c:numCache>
                <c:formatCode>#,##0_);\(#,##0\)</c:formatCode>
                <c:ptCount val="7"/>
                <c:pt idx="0">
                  <c:v>-13330.730000000174</c:v>
                </c:pt>
                <c:pt idx="2">
                  <c:v>-64765.231465391233</c:v>
                </c:pt>
                <c:pt idx="3" formatCode="0.0%">
                  <c:v>-1.2591787539531238</c:v>
                </c:pt>
                <c:pt idx="4" formatCode="General">
                  <c:v>0</c:v>
                </c:pt>
                <c:pt idx="5" formatCode="0.0%">
                  <c:v>-2.2924062690984288E-4</c:v>
                </c:pt>
                <c:pt idx="6">
                  <c:v>-795.17000000047847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1" sqref="C21"/>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10</v>
      </c>
      <c r="C3" s="4">
        <f>+VLOOKUP(B3,$K$3:$L$14,2,0)</f>
        <v>2</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X</v>
      </c>
      <c r="N4" s="4" t="str">
        <f t="shared" si="1"/>
        <v>X</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D67" sqref="D6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Février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406637.76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406637.76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836117.95</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593707.79</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181704</v>
      </c>
      <c r="C10" s="15"/>
      <c r="D10" s="20" t="s">
        <v>33</v>
      </c>
      <c r="E10" s="21">
        <f>-SUMIFS(BV_Data_An_Cour!$P:$P,BV_Data_An_Cour!$U:$U,$A$1,BV_Data_An_Cour!$V:$V,$D10)</f>
        <v>187420.03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363314.04</v>
      </c>
      <c r="C11" s="15"/>
      <c r="D11" s="20" t="s">
        <v>35</v>
      </c>
      <c r="E11" s="21">
        <f>-SUMIFS(BV_Data_An_Cour!$P:$P,BV_Data_An_Cour!$U:$U,$A$1,BV_Data_An_Cour!$V:$V,$D11)</f>
        <v>83791.400000000023</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40792.01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12584.64</v>
      </c>
      <c r="C13" s="15"/>
      <c r="D13" s="20" t="s">
        <v>39</v>
      </c>
      <c r="E13" s="21">
        <f>-SUMIFS(BV_Data_An_Cour!$P:$P,BV_Data_An_Cour!$U:$U,$A$1,BV_Data_An_Cour!$V:$V,$D13)</f>
        <v>19300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1657234</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3111.41</v>
      </c>
      <c r="C15" s="15"/>
      <c r="D15" s="20" t="s">
        <v>43</v>
      </c>
      <c r="E15" s="21">
        <f>-SUMIFS(BV_Data_An_Cour!$P:$P,BV_Data_An_Cour!$U:$U,$A$1,BV_Data_An_Cour!$V:$V,$D15)</f>
        <v>300004.38</v>
      </c>
      <c r="F15" s="3"/>
      <c r="G15" s="3"/>
      <c r="H15" s="3"/>
      <c r="I15" s="3"/>
      <c r="J15" s="3"/>
      <c r="K15" s="3"/>
      <c r="L15" s="3"/>
      <c r="M15" s="3"/>
      <c r="N15" s="3"/>
      <c r="O15" s="3"/>
      <c r="P15" s="3"/>
      <c r="Q15" s="3"/>
      <c r="R15" s="3"/>
      <c r="S15" s="3"/>
      <c r="T15" s="3"/>
      <c r="U15" s="3"/>
      <c r="V15" s="3"/>
      <c r="W15" s="3"/>
      <c r="X15" s="3"/>
      <c r="Y15" s="3"/>
    </row>
    <row r="16" spans="1:25">
      <c r="A16" s="17" t="s">
        <v>44</v>
      </c>
      <c r="B16" s="18">
        <f>+SUM(B8:B15)</f>
        <v>2031331.8399999999</v>
      </c>
      <c r="C16" s="19"/>
      <c r="D16" s="17" t="s">
        <v>45</v>
      </c>
      <c r="E16" s="18">
        <f>+SUM(E10:E15)</f>
        <v>2247749.81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8056851.5300000003</v>
      </c>
      <c r="C18" s="15"/>
      <c r="D18" s="20" t="s">
        <v>47</v>
      </c>
      <c r="E18" s="21">
        <f>-SUMIFS(BV_Data_An_Cour!$P:$P,BV_Data_An_Cour!$U:$U,$A$1,BV_Data_An_Cour!$V:$V,$D18)</f>
        <v>9050350.0500000007</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1058448.73</v>
      </c>
      <c r="C19" s="15"/>
      <c r="D19" s="20" t="s">
        <v>49</v>
      </c>
      <c r="E19" s="21">
        <f>-SUMIFS(BV_Data_An_Cour!$P:$P,BV_Data_An_Cour!$U:$U,$A$1,BV_Data_An_Cour!$V:$V,$D19)</f>
        <v>352221.38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525824.99</v>
      </c>
      <c r="C20" s="15"/>
      <c r="D20" s="17" t="s">
        <v>51</v>
      </c>
      <c r="E20" s="18">
        <f>+SUM(E18:E19)</f>
        <v>9402571.4300000016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9641125.25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339576.45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16035.25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17617.72</v>
      </c>
      <c r="C24" s="15"/>
      <c r="D24" s="20" t="s">
        <v>57</v>
      </c>
      <c r="E24" s="21">
        <f>-SUMIFS(BV_Data_An_Cour!$P:$P,BV_Data_An_Cour!$U:$U,$A$1,BV_Data_An_Cour!$V:$V,$D24)</f>
        <v>240011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5528.97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-25708.839999999989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595622.69999999995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-2562.1499999999869</v>
      </c>
      <c r="C30" s="19"/>
      <c r="D30" s="23" t="s">
        <v>63</v>
      </c>
      <c r="E30" s="24">
        <f>+E5+E7+E16+E20+E28</f>
        <v>12245943.940000001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12076532.699999999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23243.97</v>
      </c>
      <c r="C37" s="15"/>
      <c r="D37" s="20" t="s">
        <v>71</v>
      </c>
      <c r="E37" s="21">
        <f>-SUMIFS(BV_Data_An_Cour!$P:$P,BV_Data_An_Cour!$U:$U,$A$1,BV_Data_An_Cour!$V:$V,$D37)</f>
        <v>5862410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311896.39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5862410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394365.07999999996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18108353.940000001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-4158620.6599999997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394365.07999999996</v>
      </c>
      <c r="C53" s="19"/>
      <c r="D53" s="23" t="s">
        <v>89</v>
      </c>
      <c r="E53" s="24">
        <f>SUM(E48:E51)</f>
        <v>262543.84000000032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12470897.779999999</v>
      </c>
      <c r="C56" s="19"/>
      <c r="D56" s="23" t="s">
        <v>91</v>
      </c>
      <c r="E56" s="24">
        <f>+E53+E45</f>
        <v>18370897.780000001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-5900000.0000000019</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912" t="s">
        <v>3</v>
      </c>
      <c r="C6" s="1285" t="s">
        <v>3941</v>
      </c>
      <c r="D6" s="1286"/>
      <c r="E6" s="1287"/>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25">
      <c r="A7" s="39"/>
      <c r="B7" s="1144"/>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145" t="s">
        <v>101</v>
      </c>
      <c r="C16" s="1146">
        <f>+SUM(C9:C15)</f>
        <v>683</v>
      </c>
      <c r="D16" s="1147">
        <f>IF(C16&lt;=0,0,E16/C16)</f>
        <v>2302.6229018010258</v>
      </c>
      <c r="E16" s="1148">
        <f>+SUM(E9:E15)</f>
        <v>1572691.4419301006</v>
      </c>
      <c r="F16" s="1146">
        <f>+SUM(F9:F15)</f>
        <v>45</v>
      </c>
      <c r="G16" s="1147">
        <f>IF(F16&lt;=0,0,H16/F16)</f>
        <v>2302.3263700181542</v>
      </c>
      <c r="H16" s="1148">
        <f>+SUM(H9:H15)</f>
        <v>103604.68665081695</v>
      </c>
      <c r="I16" s="1146">
        <f>+SUM(I9:I15)</f>
        <v>48</v>
      </c>
      <c r="J16" s="1147">
        <f>IF(I16&lt;=0,0,K16/I16)</f>
        <v>2300.5180556636778</v>
      </c>
      <c r="K16" s="1148">
        <f>+SUM(K9:K15)</f>
        <v>110424.86667185654</v>
      </c>
      <c r="L16" s="1146">
        <f>+SUM(L9:L15)</f>
        <v>70</v>
      </c>
      <c r="M16" s="1147">
        <f>IF(L16&lt;=0,0,N16/L16)</f>
        <v>2304.3930149946991</v>
      </c>
      <c r="N16" s="1148">
        <f>+SUM(N9:N15)</f>
        <v>161307.51104962893</v>
      </c>
      <c r="O16" s="1146">
        <f>+SUM(O9:O15)</f>
        <v>72</v>
      </c>
      <c r="P16" s="1147">
        <f>IF(O16&lt;=0,0,Q16/O16)</f>
        <v>2300.5180556636778</v>
      </c>
      <c r="Q16" s="1148">
        <f>+SUM(Q9:Q15)</f>
        <v>165637.3000077848</v>
      </c>
      <c r="R16" s="1146">
        <f>+SUM(R9:R15)</f>
        <v>75</v>
      </c>
      <c r="S16" s="1147">
        <f>IF(R16&lt;=0,0,T16/R16)</f>
        <v>2299.4330670509917</v>
      </c>
      <c r="T16" s="1148">
        <f>+SUM(T9:T15)</f>
        <v>172457.48002882439</v>
      </c>
      <c r="U16" s="1146">
        <f>+SUM(U9:U15)</f>
        <v>67</v>
      </c>
      <c r="V16" s="1147">
        <f>IF(U16&lt;=0,0,W16/U16)</f>
        <v>2305.781060128199</v>
      </c>
      <c r="W16" s="1148">
        <f>+SUM(W9:W15)</f>
        <v>154487.33102858934</v>
      </c>
      <c r="X16" s="1146">
        <f>+SUM(X9:X15)</f>
        <v>60</v>
      </c>
      <c r="Y16" s="1147">
        <f>IF(X16&lt;=0,0,Z16/X16)</f>
        <v>2305.9429987271074</v>
      </c>
      <c r="Z16" s="1148">
        <f>+SUM(Z9:Z15)</f>
        <v>138356.57992362644</v>
      </c>
      <c r="AA16" s="1146">
        <f>+SUM(AA9:AA15)</f>
        <v>55</v>
      </c>
      <c r="AB16" s="1147">
        <f>IF(AA16&lt;=0,0,AC16/AA16)</f>
        <v>2301.0112323058079</v>
      </c>
      <c r="AC16" s="1148">
        <f>+SUM(AC9:AC15)</f>
        <v>126555.61777681943</v>
      </c>
      <c r="AD16" s="1146">
        <f>+SUM(AD9:AD15)</f>
        <v>53</v>
      </c>
      <c r="AE16" s="1147">
        <f>IF(AD16&lt;=0,0,AF16/AD16)</f>
        <v>2306.1477135596897</v>
      </c>
      <c r="AF16" s="1148">
        <f>+SUM(AF9:AF15)</f>
        <v>122225.82881866355</v>
      </c>
      <c r="AG16" s="1146">
        <f>+SUM(AG9:AG15)</f>
        <v>52</v>
      </c>
      <c r="AH16" s="1147">
        <f>IF(AG16&lt;=0,0,AI16/AG16)</f>
        <v>2302.6045722265353</v>
      </c>
      <c r="AI16" s="1148">
        <f>+SUM(AI9:AI15)</f>
        <v>119735.43775577984</v>
      </c>
      <c r="AJ16" s="1146">
        <f>+SUM(AJ9:AJ15)</f>
        <v>46</v>
      </c>
      <c r="AK16" s="1147">
        <f>IF(AJ16&lt;=0,0,AL16/AJ16)</f>
        <v>2306.4147329065363</v>
      </c>
      <c r="AL16" s="1148">
        <f>+SUM(AL9:AL15)</f>
        <v>106095.07771370067</v>
      </c>
      <c r="AM16" s="1146">
        <f>+SUM(AM9:AM15)</f>
        <v>40</v>
      </c>
      <c r="AN16" s="1147">
        <f>IF(AM16&lt;=0,0,AO16/AM16)</f>
        <v>2295.0931126002483</v>
      </c>
      <c r="AO16" s="1148">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149"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5"/>
      <c r="C21" s="1150"/>
      <c r="D21" s="1151"/>
      <c r="E21" s="1152"/>
      <c r="F21" s="1150"/>
      <c r="G21" s="1151"/>
      <c r="H21" s="1152"/>
      <c r="I21" s="1150"/>
      <c r="J21" s="1151"/>
      <c r="K21" s="1152"/>
      <c r="L21" s="1150"/>
      <c r="M21" s="1151"/>
      <c r="N21" s="1152"/>
      <c r="O21" s="1150"/>
      <c r="P21" s="1151"/>
      <c r="Q21" s="1152"/>
      <c r="R21" s="1150"/>
      <c r="S21" s="1151"/>
      <c r="T21" s="1152"/>
      <c r="U21" s="1150"/>
      <c r="V21" s="1151"/>
      <c r="W21" s="1152"/>
      <c r="X21" s="1150"/>
      <c r="Y21" s="1151"/>
      <c r="Z21" s="1152"/>
      <c r="AA21" s="1150"/>
      <c r="AB21" s="1151"/>
      <c r="AC21" s="1152"/>
      <c r="AD21" s="1150"/>
      <c r="AE21" s="1151"/>
      <c r="AF21" s="1152"/>
      <c r="AG21" s="1150"/>
      <c r="AH21" s="1151"/>
      <c r="AI21" s="1152"/>
      <c r="AJ21" s="1150"/>
      <c r="AK21" s="1151"/>
      <c r="AL21" s="1152"/>
      <c r="AM21" s="1150"/>
      <c r="AN21" s="1151"/>
      <c r="AO21" s="115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3"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5"/>
      <c r="C23" s="1150"/>
      <c r="D23" s="1151"/>
      <c r="E23" s="1152"/>
      <c r="F23" s="1150"/>
      <c r="G23" s="1151"/>
      <c r="H23" s="1152"/>
      <c r="I23" s="1150"/>
      <c r="J23" s="1151"/>
      <c r="K23" s="1152"/>
      <c r="L23" s="1150"/>
      <c r="M23" s="1151"/>
      <c r="N23" s="1152"/>
      <c r="O23" s="1150"/>
      <c r="P23" s="1151"/>
      <c r="Q23" s="1152"/>
      <c r="R23" s="1150"/>
      <c r="S23" s="1151"/>
      <c r="T23" s="1152"/>
      <c r="U23" s="1150"/>
      <c r="V23" s="1151"/>
      <c r="W23" s="1152"/>
      <c r="X23" s="1150"/>
      <c r="Y23" s="1151"/>
      <c r="Z23" s="1152"/>
      <c r="AA23" s="1150"/>
      <c r="AB23" s="1151"/>
      <c r="AC23" s="1152"/>
      <c r="AD23" s="1150"/>
      <c r="AE23" s="1151"/>
      <c r="AF23" s="1152"/>
      <c r="AG23" s="1150"/>
      <c r="AH23" s="1151"/>
      <c r="AI23" s="1152"/>
      <c r="AJ23" s="1150"/>
      <c r="AK23" s="1151"/>
      <c r="AL23" s="1152"/>
      <c r="AM23" s="1150"/>
      <c r="AN23" s="1151"/>
      <c r="AO23" s="115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5" t="s">
        <v>108</v>
      </c>
      <c r="C27" s="1146">
        <f>+C18+C16</f>
        <v>723</v>
      </c>
      <c r="D27" s="1147">
        <f>IF(C27&lt;=0,0,E27/C27)</f>
        <v>1200</v>
      </c>
      <c r="E27" s="1148">
        <f>E24+E25+E26</f>
        <v>867600</v>
      </c>
      <c r="F27" s="1146">
        <f>+F18+F16</f>
        <v>48</v>
      </c>
      <c r="G27" s="1147">
        <f>IF(F27&lt;=0,0,H27/F27)</f>
        <v>1200</v>
      </c>
      <c r="H27" s="1148">
        <f>H24+H25+H26</f>
        <v>57600</v>
      </c>
      <c r="I27" s="1146">
        <f>+I18+I16</f>
        <v>51</v>
      </c>
      <c r="J27" s="1147">
        <f>IF(I27&lt;=0,0,K27/I27)</f>
        <v>1200</v>
      </c>
      <c r="K27" s="1148">
        <f>K24+K25+K26</f>
        <v>61200</v>
      </c>
      <c r="L27" s="1146">
        <f>+L18+L16</f>
        <v>74</v>
      </c>
      <c r="M27" s="1147">
        <f>IF(L27&lt;=0,0,N27/L27)</f>
        <v>1200</v>
      </c>
      <c r="N27" s="1148">
        <f>N24+N25+N26</f>
        <v>88800</v>
      </c>
      <c r="O27" s="1146">
        <f>+O18+O16</f>
        <v>76</v>
      </c>
      <c r="P27" s="1147">
        <f>IF(O27&lt;=0,0,Q27/O27)</f>
        <v>1200</v>
      </c>
      <c r="Q27" s="1148">
        <f>Q24+Q25+Q26</f>
        <v>91200</v>
      </c>
      <c r="R27" s="1146">
        <f>+R18+R16</f>
        <v>79</v>
      </c>
      <c r="S27" s="1147">
        <f>IF(R27&lt;=0,0,T27/R27)</f>
        <v>1200</v>
      </c>
      <c r="T27" s="1148">
        <f>T24+T25+T26</f>
        <v>94800</v>
      </c>
      <c r="U27" s="1146">
        <f>+U18+U16</f>
        <v>71</v>
      </c>
      <c r="V27" s="1147">
        <f>IF(U27&lt;=0,0,W27/U27)</f>
        <v>1200</v>
      </c>
      <c r="W27" s="1148">
        <f>W24+W25+W26</f>
        <v>85200</v>
      </c>
      <c r="X27" s="1146">
        <f>+X18+X16</f>
        <v>64</v>
      </c>
      <c r="Y27" s="1147">
        <f>IF(X27&lt;=0,0,Z27/X27)</f>
        <v>1200</v>
      </c>
      <c r="Z27" s="1148">
        <f>Z24+Z25+Z26</f>
        <v>76800</v>
      </c>
      <c r="AA27" s="1146">
        <f>+AA18+AA16</f>
        <v>58</v>
      </c>
      <c r="AB27" s="1147">
        <f>IF(AA27&lt;=0,0,AC27/AA27)</f>
        <v>1200</v>
      </c>
      <c r="AC27" s="1148">
        <f>AC24+AC25+AC26</f>
        <v>69600</v>
      </c>
      <c r="AD27" s="1146">
        <f>+AD18+AD16</f>
        <v>56</v>
      </c>
      <c r="AE27" s="1147">
        <f>IF(AD27&lt;=0,0,AF27/AD27)</f>
        <v>1200</v>
      </c>
      <c r="AF27" s="1148">
        <f>AF24+AF25+AF26</f>
        <v>67200</v>
      </c>
      <c r="AG27" s="1146">
        <f>+AG18+AG16</f>
        <v>55</v>
      </c>
      <c r="AH27" s="1147">
        <f>IF(AG27&lt;=0,0,AI27/AG27)</f>
        <v>1200</v>
      </c>
      <c r="AI27" s="1148">
        <f>AI24+AI25+AI26</f>
        <v>66000</v>
      </c>
      <c r="AJ27" s="1146">
        <f>+AJ18+AJ16</f>
        <v>49</v>
      </c>
      <c r="AK27" s="1147">
        <f>IF(AJ27&lt;=0,0,AL27/AJ27)</f>
        <v>1200</v>
      </c>
      <c r="AL27" s="1148">
        <f>AL24+AL25+AL26</f>
        <v>58800</v>
      </c>
      <c r="AM27" s="1146">
        <f>+AM18+AM16</f>
        <v>42</v>
      </c>
      <c r="AN27" s="1147">
        <f>IF(AM27&lt;=0,0,AO27/AM27)</f>
        <v>1200</v>
      </c>
      <c r="AO27" s="1148">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4"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5"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6" t="s">
        <v>118</v>
      </c>
      <c r="C44" s="1157" t="s">
        <v>119</v>
      </c>
      <c r="D44" s="1158">
        <f>IFERROR(E44/E$30,0)</f>
        <v>0.44407458960012614</v>
      </c>
      <c r="E44" s="1159">
        <f>SUM(E34:E43)</f>
        <v>1183466.77230156</v>
      </c>
      <c r="F44" s="1157" t="s">
        <v>119</v>
      </c>
      <c r="G44" s="1158">
        <f>IFERROR(H44/H$30,0)</f>
        <v>0.49025687284782238</v>
      </c>
      <c r="H44" s="1159">
        <f>SUM(H34:H43)</f>
        <v>86426.965026094898</v>
      </c>
      <c r="I44" s="1157" t="s">
        <v>119</v>
      </c>
      <c r="J44" s="1158">
        <f>IFERROR(K44/K$30,0)</f>
        <v>0.46236446689166394</v>
      </c>
      <c r="K44" s="1159">
        <f>SUM(K34:K43)</f>
        <v>87132.832977707367</v>
      </c>
      <c r="L44" s="1157" t="s">
        <v>119</v>
      </c>
      <c r="M44" s="1158">
        <f>IFERROR(N44/N$30,0)</f>
        <v>0.40937457160776797</v>
      </c>
      <c r="N44" s="1159">
        <f>SUM(N34:N43)</f>
        <v>111754.85166973899</v>
      </c>
      <c r="O44" s="1157" t="s">
        <v>119</v>
      </c>
      <c r="P44" s="1158">
        <f>IFERROR(Q44/Q$30,0)</f>
        <v>0.4502032766780581</v>
      </c>
      <c r="Q44" s="1159">
        <f>SUM(Q34:Q43)</f>
        <v>125996.53087178357</v>
      </c>
      <c r="R44" s="1157" t="s">
        <v>119</v>
      </c>
      <c r="S44" s="1158">
        <f>IFERROR(T44/T$30,0)</f>
        <v>0.40556583094787357</v>
      </c>
      <c r="T44" s="1159">
        <f>SUM(T34:T43)</f>
        <v>117908.76570098721</v>
      </c>
      <c r="U44" s="1157" t="s">
        <v>119</v>
      </c>
      <c r="V44" s="1158">
        <f>IFERROR(W44/W$30,0)</f>
        <v>0.41086903236315325</v>
      </c>
      <c r="W44" s="1159">
        <f>SUM(W34:W43)</f>
        <v>107700.4945140308</v>
      </c>
      <c r="X44" s="1157" t="s">
        <v>119</v>
      </c>
      <c r="Y44" s="1158">
        <f>IFERROR(Z44/Z$30,0)</f>
        <v>0.42850822121948384</v>
      </c>
      <c r="Z44" s="1159">
        <f>SUM(Z34:Z43)</f>
        <v>100814.78266193639</v>
      </c>
      <c r="AA44" s="1157" t="s">
        <v>119</v>
      </c>
      <c r="AB44" s="1158">
        <f>IFERROR(AC44/AC$30,0)</f>
        <v>0.4352443263197569</v>
      </c>
      <c r="AC44" s="1159">
        <f>SUM(AC34:AC43)</f>
        <v>93146.28581622777</v>
      </c>
      <c r="AD44" s="1157" t="s">
        <v>119</v>
      </c>
      <c r="AE44" s="1158">
        <f>IFERROR(AF44/AF$30,0)</f>
        <v>0.43986954987407112</v>
      </c>
      <c r="AF44" s="1159">
        <f>SUM(AF34:AF43)</f>
        <v>91046.713502421713</v>
      </c>
      <c r="AG44" s="1157" t="s">
        <v>119</v>
      </c>
      <c r="AH44" s="1158">
        <f>IFERROR(AI44/AI$30,0)</f>
        <v>0.44694991165736486</v>
      </c>
      <c r="AI44" s="1159">
        <f>SUM(AI34:AI43)</f>
        <v>90797.195881115913</v>
      </c>
      <c r="AJ44" s="1157" t="s">
        <v>119</v>
      </c>
      <c r="AK44" s="1158">
        <f>IFERROR(AL44/AL$30,0)</f>
        <v>0.52320251239488202</v>
      </c>
      <c r="AL44" s="1159">
        <f>SUM(AL34:AL43)</f>
        <v>94242.574097373203</v>
      </c>
      <c r="AM44" s="1157" t="s">
        <v>119</v>
      </c>
      <c r="AN44" s="1158">
        <f>IFERROR(AO44/AO$30,0)</f>
        <v>0.49344773223250477</v>
      </c>
      <c r="AO44" s="1159">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60"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61"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60" t="s">
        <v>122</v>
      </c>
      <c r="C47" s="1144"/>
      <c r="D47" s="1162"/>
      <c r="E47" s="1163">
        <f t="shared" si="30"/>
        <v>341.84999999999997</v>
      </c>
      <c r="F47" s="1144"/>
      <c r="G47" s="1162"/>
      <c r="H47" s="1164">
        <f>[1]Salaire!$E$161</f>
        <v>341.84999999999997</v>
      </c>
      <c r="I47" s="1144"/>
      <c r="J47" s="1162"/>
      <c r="K47" s="1164">
        <f>[1]Salaire!$F$161</f>
        <v>0</v>
      </c>
      <c r="L47" s="1144"/>
      <c r="M47" s="1162"/>
      <c r="N47" s="1164">
        <f>[1]Salaire!$G$161</f>
        <v>0</v>
      </c>
      <c r="O47" s="1144"/>
      <c r="P47" s="1162"/>
      <c r="Q47" s="1164">
        <f>[1]Salaire!$H$161</f>
        <v>0</v>
      </c>
      <c r="R47" s="1144"/>
      <c r="S47" s="1162"/>
      <c r="T47" s="1164">
        <f>[1]Salaire!$I$161</f>
        <v>0</v>
      </c>
      <c r="U47" s="1144"/>
      <c r="V47" s="1162"/>
      <c r="W47" s="1164">
        <f>[1]Salaire!$J$161</f>
        <v>0</v>
      </c>
      <c r="X47" s="1144"/>
      <c r="Y47" s="1162"/>
      <c r="Z47" s="1164">
        <f>[1]Salaire!$K$161</f>
        <v>0</v>
      </c>
      <c r="AA47" s="1144"/>
      <c r="AB47" s="1162"/>
      <c r="AC47" s="1164">
        <f>[1]Salaire!$L$161</f>
        <v>0</v>
      </c>
      <c r="AD47" s="1144"/>
      <c r="AE47" s="1162"/>
      <c r="AF47" s="1164">
        <f>[1]Salaire!$M$161</f>
        <v>0</v>
      </c>
      <c r="AG47" s="1144"/>
      <c r="AH47" s="1162"/>
      <c r="AI47" s="1164">
        <f>[1]Salaire!$N$161</f>
        <v>0</v>
      </c>
      <c r="AJ47" s="1144"/>
      <c r="AK47" s="1162"/>
      <c r="AL47" s="1164">
        <f>[1]Salaire!$O$161</f>
        <v>0</v>
      </c>
      <c r="AM47" s="1144"/>
      <c r="AN47" s="1162"/>
      <c r="AO47" s="1164">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60"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61"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60" t="s">
        <v>125</v>
      </c>
      <c r="C53" s="1144"/>
      <c r="D53" s="1162"/>
      <c r="E53" s="1163">
        <f t="shared" si="30"/>
        <v>180438.23230137891</v>
      </c>
      <c r="F53" s="1144"/>
      <c r="G53" s="1162"/>
      <c r="H53" s="1164">
        <f>'[1]DAS-VAC'!$F$51</f>
        <v>13830.859295388043</v>
      </c>
      <c r="I53" s="1144"/>
      <c r="J53" s="1162"/>
      <c r="K53" s="1164">
        <f>'[1]DAS-VAC'!$G$51</f>
        <v>11813.387893842868</v>
      </c>
      <c r="L53" s="1144"/>
      <c r="M53" s="1162"/>
      <c r="N53" s="1164">
        <f>'[1]DAS-VAC'!$H$51</f>
        <v>15373.222343324787</v>
      </c>
      <c r="O53" s="1144"/>
      <c r="P53" s="1162"/>
      <c r="Q53" s="1164">
        <f>'[1]DAS-VAC'!$I$51</f>
        <v>16048.512582499487</v>
      </c>
      <c r="R53" s="1144"/>
      <c r="S53" s="1162"/>
      <c r="T53" s="1164">
        <f>'[1]DAS-VAC'!$J$51</f>
        <v>18075.698947068635</v>
      </c>
      <c r="U53" s="1144"/>
      <c r="V53" s="1162"/>
      <c r="W53" s="1164">
        <f>'[1]DAS-VAC'!$K$51</f>
        <v>14104.218611366958</v>
      </c>
      <c r="X53" s="1144"/>
      <c r="Y53" s="1162"/>
      <c r="Z53" s="1164">
        <f>'[1]DAS-VAC'!$L$51</f>
        <v>15447.223109957196</v>
      </c>
      <c r="AA53" s="1144"/>
      <c r="AB53" s="1162"/>
      <c r="AC53" s="1164">
        <f>'[1]DAS-VAC'!$M$51</f>
        <v>14631.69210415009</v>
      </c>
      <c r="AD53" s="1144"/>
      <c r="AE53" s="1162"/>
      <c r="AF53" s="1164">
        <f>'[1]DAS-VAC'!$N$51</f>
        <v>14845.748850541657</v>
      </c>
      <c r="AG53" s="1144"/>
      <c r="AH53" s="1162"/>
      <c r="AI53" s="1164">
        <f>'[1]DAS-VAC'!$O$51</f>
        <v>17053.871961502377</v>
      </c>
      <c r="AJ53" s="1144"/>
      <c r="AK53" s="1162"/>
      <c r="AL53" s="1164">
        <f>'[1]DAS-VAC'!$P$51</f>
        <v>16328.80932889105</v>
      </c>
      <c r="AM53" s="1144"/>
      <c r="AN53" s="1162"/>
      <c r="AO53" s="1164">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5"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60"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6" t="s">
        <v>128</v>
      </c>
      <c r="C57" s="1157" t="s">
        <v>119</v>
      </c>
      <c r="D57" s="1158">
        <f>IFERROR(E57/E$30,0)</f>
        <v>0.36104995570578263</v>
      </c>
      <c r="E57" s="1159">
        <f>+SUM(E45:E56)</f>
        <v>962204.62896448153</v>
      </c>
      <c r="F57" s="1157" t="s">
        <v>119</v>
      </c>
      <c r="G57" s="1158">
        <f>IFERROR(H57/H$30,0)</f>
        <v>0.43885797571551938</v>
      </c>
      <c r="H57" s="1159">
        <f>+SUM(H45:H56)</f>
        <v>77365.897388166457</v>
      </c>
      <c r="I57" s="1157" t="s">
        <v>119</v>
      </c>
      <c r="J57" s="1158">
        <f>IFERROR(K57/K$30,0)</f>
        <v>0.36858221680953823</v>
      </c>
      <c r="K57" s="1159">
        <f>+SUM(K45:K56)</f>
        <v>69459.517405656501</v>
      </c>
      <c r="L57" s="1157" t="s">
        <v>119</v>
      </c>
      <c r="M57" s="1158">
        <f>IFERROR(N57/N$30,0)</f>
        <v>0.28785365073664554</v>
      </c>
      <c r="N57" s="1159">
        <f>+SUM(N45:N56)</f>
        <v>78580.948284908722</v>
      </c>
      <c r="O57" s="1157" t="s">
        <v>119</v>
      </c>
      <c r="P57" s="1158">
        <f>IFERROR(Q57/Q$30,0)</f>
        <v>0.28696338613312877</v>
      </c>
      <c r="Q57" s="1159">
        <f>+SUM(Q45:Q56)</f>
        <v>80311.257187605646</v>
      </c>
      <c r="R57" s="1157" t="s">
        <v>119</v>
      </c>
      <c r="S57" s="1158">
        <f>IFERROR(T57/T$30,0)</f>
        <v>0.31719784911958554</v>
      </c>
      <c r="T57" s="1159">
        <f>+SUM(T45:T56)</f>
        <v>92217.844844787454</v>
      </c>
      <c r="U57" s="1157" t="s">
        <v>119</v>
      </c>
      <c r="V57" s="1158">
        <f>IFERROR(W57/W$30,0)</f>
        <v>0.28737565035936385</v>
      </c>
      <c r="W57" s="1159">
        <f>+SUM(W45:W56)</f>
        <v>75329.356113747213</v>
      </c>
      <c r="X57" s="1157" t="s">
        <v>119</v>
      </c>
      <c r="Y57" s="1158">
        <f>IFERROR(Z57/Z$30,0)</f>
        <v>0.36334061090316278</v>
      </c>
      <c r="Z57" s="1159">
        <f>+SUM(Z45:Z56)</f>
        <v>85482.851685348287</v>
      </c>
      <c r="AA57" s="1157" t="s">
        <v>119</v>
      </c>
      <c r="AB57" s="1158">
        <f>IFERROR(AC57/AC$30,0)</f>
        <v>0.35830662837144761</v>
      </c>
      <c r="AC57" s="1159">
        <f>+SUM(AC45:AC56)</f>
        <v>76680.911382211823</v>
      </c>
      <c r="AD57" s="1157" t="s">
        <v>119</v>
      </c>
      <c r="AE57" s="1158">
        <f>IFERROR(AF57/AF$30,0)</f>
        <v>0.37311460278341002</v>
      </c>
      <c r="AF57" s="1159">
        <f>+SUM(AF45:AF56)</f>
        <v>77229.393016444126</v>
      </c>
      <c r="AG57" s="1157" t="s">
        <v>119</v>
      </c>
      <c r="AH57" s="1158">
        <f>IFERROR(AI57/AI$30,0)</f>
        <v>0.44105472817318075</v>
      </c>
      <c r="AI57" s="1159">
        <f>+SUM(AI45:AI56)</f>
        <v>89599.59830785825</v>
      </c>
      <c r="AJ57" s="1157" t="s">
        <v>119</v>
      </c>
      <c r="AK57" s="1158">
        <f>IFERROR(AL57/AL$30,0)</f>
        <v>0.4498478636141689</v>
      </c>
      <c r="AL57" s="1159">
        <f>+SUM(AL45:AL56)</f>
        <v>81029.466821837937</v>
      </c>
      <c r="AM57" s="1157" t="s">
        <v>119</v>
      </c>
      <c r="AN57" s="1158">
        <f>IFERROR(AO57/AO$30,0)</f>
        <v>0.50905000468220307</v>
      </c>
      <c r="AO57" s="1159">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6" t="s">
        <v>143</v>
      </c>
      <c r="C75" s="1157" t="s">
        <v>119</v>
      </c>
      <c r="D75" s="1158">
        <f>IFERROR(E75/E$30,0)</f>
        <v>0.13094712485526977</v>
      </c>
      <c r="E75" s="1159">
        <f>+SUM(E58:E74)</f>
        <v>348976.44410183898</v>
      </c>
      <c r="F75" s="1157" t="s">
        <v>119</v>
      </c>
      <c r="G75" s="1158">
        <f>IFERROR(H75/H$30,0)</f>
        <v>0.18366217565242215</v>
      </c>
      <c r="H75" s="1159">
        <f>+SUM(H58:H74)</f>
        <v>32377.647945091718</v>
      </c>
      <c r="I75" s="1157" t="s">
        <v>119</v>
      </c>
      <c r="J75" s="1158">
        <f>IFERROR(K75/K$30,0)</f>
        <v>0.14575318327113801</v>
      </c>
      <c r="K75" s="1159">
        <f>+SUM(K58:K74)</f>
        <v>27467.265941327048</v>
      </c>
      <c r="L75" s="1157" t="s">
        <v>119</v>
      </c>
      <c r="M75" s="1158">
        <f>IFERROR(N75/N$30,0)</f>
        <v>0.10266038693490991</v>
      </c>
      <c r="N75" s="1159">
        <f>+SUM(N58:N74)</f>
        <v>28025.1806291018</v>
      </c>
      <c r="O75" s="1157" t="s">
        <v>119</v>
      </c>
      <c r="P75" s="1158">
        <f>IFERROR(Q75/Q$30,0)</f>
        <v>0.1009973105376625</v>
      </c>
      <c r="Q75" s="1159">
        <f>+SUM(Q58:Q74)</f>
        <v>28265.6999945063</v>
      </c>
      <c r="R75" s="1157" t="s">
        <v>119</v>
      </c>
      <c r="S75" s="1158">
        <f>IFERROR(T75/T$30,0)</f>
        <v>9.8140374409515396E-2</v>
      </c>
      <c r="T75" s="1159">
        <f>+SUM(T58:T74)</f>
        <v>28532.015098545082</v>
      </c>
      <c r="U75" s="1157" t="s">
        <v>119</v>
      </c>
      <c r="V75" s="1158">
        <f>IFERROR(W75/W$30,0)</f>
        <v>0.11211632311817375</v>
      </c>
      <c r="W75" s="1159">
        <f>+SUM(W58:W74)</f>
        <v>29388.88670550743</v>
      </c>
      <c r="X75" s="1157" t="s">
        <v>119</v>
      </c>
      <c r="Y75" s="1158">
        <f>IFERROR(Z75/Z$30,0)</f>
        <v>0.11860037028590337</v>
      </c>
      <c r="Z75" s="1159">
        <f>+SUM(Z58:Z74)</f>
        <v>27903.013202340091</v>
      </c>
      <c r="AA75" s="1157" t="s">
        <v>119</v>
      </c>
      <c r="AB75" s="1158">
        <f>IFERROR(AC75/AC$30,0)</f>
        <v>0.12984515629731311</v>
      </c>
      <c r="AC75" s="1159">
        <f>+SUM(AC58:AC74)</f>
        <v>27788.056750995696</v>
      </c>
      <c r="AD75" s="1157" t="s">
        <v>119</v>
      </c>
      <c r="AE75" s="1158">
        <f>IFERROR(AF75/AF$30,0)</f>
        <v>0.13500740450031468</v>
      </c>
      <c r="AF75" s="1159">
        <f>+SUM(AF58:AF74)</f>
        <v>27944.604216783686</v>
      </c>
      <c r="AG75" s="1157" t="s">
        <v>119</v>
      </c>
      <c r="AH75" s="1158">
        <f>IFERROR(AI75/AI$30,0)</f>
        <v>0.14232936230070106</v>
      </c>
      <c r="AI75" s="1159">
        <f>+SUM(AI58:AI74)</f>
        <v>28913.993831053755</v>
      </c>
      <c r="AJ75" s="1157" t="s">
        <v>119</v>
      </c>
      <c r="AK75" s="1158">
        <f>IFERROR(AL75/AL$30,0)</f>
        <v>0.1665625032836561</v>
      </c>
      <c r="AL75" s="1159">
        <f>+SUM(AL58:AL74)</f>
        <v>30002.300611482075</v>
      </c>
      <c r="AM75" s="1157" t="s">
        <v>119</v>
      </c>
      <c r="AN75" s="1158">
        <f>IFERROR(AO75/AO$30,0)</f>
        <v>0.20878512465950699</v>
      </c>
      <c r="AO75" s="1159">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6" t="s">
        <v>144</v>
      </c>
      <c r="C77" s="1157" t="s">
        <v>119</v>
      </c>
      <c r="D77" s="1158">
        <f>IFERROR(E77/E$30,0)</f>
        <v>0.93607167016117854</v>
      </c>
      <c r="E77" s="1167">
        <f>E44+E57+E75</f>
        <v>2494647.8453678805</v>
      </c>
      <c r="F77" s="1157" t="s">
        <v>119</v>
      </c>
      <c r="G77" s="1158">
        <f>IFERROR(H77/H$30,0)</f>
        <v>1.112777024215764</v>
      </c>
      <c r="H77" s="1167">
        <f>H44+H57+H75</f>
        <v>196170.51035935307</v>
      </c>
      <c r="I77" s="1157" t="s">
        <v>119</v>
      </c>
      <c r="J77" s="1158">
        <f>IFERROR(K77/K$30,0)</f>
        <v>0.97669986697234024</v>
      </c>
      <c r="K77" s="1167">
        <f>K44+K57+K75</f>
        <v>184059.61632469093</v>
      </c>
      <c r="L77" s="1157" t="s">
        <v>119</v>
      </c>
      <c r="M77" s="1158">
        <f>IFERROR(N77/N$30,0)</f>
        <v>0.79988860927932348</v>
      </c>
      <c r="N77" s="1167">
        <f>N44+N57+N75</f>
        <v>218360.98058374954</v>
      </c>
      <c r="O77" s="1157" t="s">
        <v>119</v>
      </c>
      <c r="P77" s="1158">
        <f>IFERROR(Q77/Q$30,0)</f>
        <v>0.8381639733488494</v>
      </c>
      <c r="Q77" s="1167">
        <f>Q44+Q57+Q75</f>
        <v>234573.48805389553</v>
      </c>
      <c r="R77" s="1157" t="s">
        <v>119</v>
      </c>
      <c r="S77" s="1158">
        <f>IFERROR(T77/T$30,0)</f>
        <v>0.82090405447697457</v>
      </c>
      <c r="T77" s="1167">
        <f>T44+T57+T75</f>
        <v>238658.62564431975</v>
      </c>
      <c r="U77" s="1157" t="s">
        <v>119</v>
      </c>
      <c r="V77" s="1158">
        <f>IFERROR(W77/W$30,0)</f>
        <v>0.81036100584069093</v>
      </c>
      <c r="W77" s="1167">
        <f>W44+W57+W75</f>
        <v>212418.73733328545</v>
      </c>
      <c r="X77" s="1157" t="s">
        <v>119</v>
      </c>
      <c r="Y77" s="1158">
        <f>IFERROR(Z77/Z$30,0)</f>
        <v>0.91044920240854998</v>
      </c>
      <c r="Z77" s="1167">
        <f>Z44+Z57+Z75</f>
        <v>214200.64754962476</v>
      </c>
      <c r="AA77" s="1157" t="s">
        <v>119</v>
      </c>
      <c r="AB77" s="1158">
        <f>IFERROR(AC77/AC$30,0)</f>
        <v>0.92339611098851759</v>
      </c>
      <c r="AC77" s="1167">
        <f>AC44+AC57+AC75</f>
        <v>197615.25394943528</v>
      </c>
      <c r="AD77" s="1157" t="s">
        <v>119</v>
      </c>
      <c r="AE77" s="1158">
        <f>IFERROR(AF77/AF$30,0)</f>
        <v>0.94799155715779593</v>
      </c>
      <c r="AF77" s="1167">
        <f>AF44+AF57+AF75</f>
        <v>196220.71073564954</v>
      </c>
      <c r="AG77" s="1157" t="s">
        <v>119</v>
      </c>
      <c r="AH77" s="1158">
        <f>IFERROR(AI77/AI$30,0)</f>
        <v>1.0303340021312466</v>
      </c>
      <c r="AI77" s="1167">
        <f>AI44+AI57+AI75</f>
        <v>209310.78802002792</v>
      </c>
      <c r="AJ77" s="1157" t="s">
        <v>119</v>
      </c>
      <c r="AK77" s="1158">
        <f>IFERROR(AL77/AL$30,0)</f>
        <v>1.1396128792927072</v>
      </c>
      <c r="AL77" s="1167">
        <f>AL44+AL57+AL75</f>
        <v>205274.34153069323</v>
      </c>
      <c r="AM77" s="1157" t="s">
        <v>119</v>
      </c>
      <c r="AN77" s="1158">
        <f>IFERROR(AO77/AO$30,0)</f>
        <v>1.2112828615742148</v>
      </c>
      <c r="AO77" s="1167">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8" t="s">
        <v>150</v>
      </c>
      <c r="C86" s="776"/>
      <c r="D86" s="1169"/>
      <c r="E86" s="777">
        <f>+SUM(E78:E85)</f>
        <v>1440330.1524880026</v>
      </c>
      <c r="F86" s="776"/>
      <c r="G86" s="1169"/>
      <c r="H86" s="777">
        <f>+SUM(H78:H85)</f>
        <v>84596.801846134986</v>
      </c>
      <c r="I86" s="776"/>
      <c r="J86" s="1169"/>
      <c r="K86" s="777">
        <f>+SUM(K78:K85)</f>
        <v>91418.856354494565</v>
      </c>
      <c r="L86" s="776"/>
      <c r="M86" s="1169"/>
      <c r="N86" s="777">
        <f>+SUM(N78:N85)</f>
        <v>169626.43340465194</v>
      </c>
      <c r="O86" s="776"/>
      <c r="P86" s="1169"/>
      <c r="Q86" s="777">
        <f>+SUM(Q78:Q85)</f>
        <v>138264.98565883172</v>
      </c>
      <c r="R86" s="776"/>
      <c r="S86" s="1169"/>
      <c r="T86" s="777">
        <f>+SUM(T78:T85)</f>
        <v>143722.81404010142</v>
      </c>
      <c r="U86" s="776"/>
      <c r="V86" s="1169"/>
      <c r="W86" s="777">
        <f>+SUM(W78:W85)</f>
        <v>164168.60502338226</v>
      </c>
      <c r="X86" s="776"/>
      <c r="Y86" s="1169"/>
      <c r="Z86" s="777">
        <f>+SUM(Z78:Z85)</f>
        <v>115069.44600666314</v>
      </c>
      <c r="AA86" s="776"/>
      <c r="AB86" s="1169"/>
      <c r="AC86" s="777">
        <f>+SUM(AC78:AC85)</f>
        <v>104153.78924412379</v>
      </c>
      <c r="AD86" s="776"/>
      <c r="AE86" s="1169"/>
      <c r="AF86" s="777">
        <f>+SUM(AF78:AF85)</f>
        <v>135515.23698994401</v>
      </c>
      <c r="AG86" s="776"/>
      <c r="AH86" s="1169"/>
      <c r="AI86" s="777">
        <f>+SUM(AI78:AI85)</f>
        <v>98695.960862854117</v>
      </c>
      <c r="AJ86" s="776"/>
      <c r="AK86" s="1169"/>
      <c r="AL86" s="777">
        <f>+SUM(AL78:AL85)</f>
        <v>86416.077973224892</v>
      </c>
      <c r="AM86" s="776"/>
      <c r="AN86" s="1169"/>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70" t="s">
        <v>151</v>
      </c>
      <c r="C88" s="1171"/>
      <c r="D88" s="1172">
        <f>E88/E8</f>
        <v>4.4758874042790511E-2</v>
      </c>
      <c r="E88" s="1173">
        <f>E30-E77+E86</f>
        <v>1610700.3018836393</v>
      </c>
      <c r="F88" s="1171"/>
      <c r="G88" s="1174"/>
      <c r="H88" s="1173">
        <f>H30-H77+H86</f>
        <v>64715.436652773627</v>
      </c>
      <c r="I88" s="1171"/>
      <c r="J88" s="1174"/>
      <c r="K88" s="1173">
        <f>K30-K77+K86</f>
        <v>95809.778981196185</v>
      </c>
      <c r="L88" s="1171"/>
      <c r="M88" s="1174"/>
      <c r="N88" s="1173">
        <f>N30-N77+N86</f>
        <v>224254.6891353018</v>
      </c>
      <c r="O88" s="1171"/>
      <c r="P88" s="1174"/>
      <c r="Q88" s="1173">
        <f>Q30-Q77+Q86</f>
        <v>183557.36575561186</v>
      </c>
      <c r="R88" s="1171"/>
      <c r="S88" s="1174"/>
      <c r="T88" s="1173">
        <f>T30-T77+T86</f>
        <v>195790.76520185819</v>
      </c>
      <c r="U88" s="1171"/>
      <c r="V88" s="1174"/>
      <c r="W88" s="1173">
        <f>W30-W77+W86</f>
        <v>213878.39534909537</v>
      </c>
      <c r="X88" s="1171"/>
      <c r="Y88" s="1174"/>
      <c r="Z88" s="1173">
        <f>Z30-Z77+Z86</f>
        <v>136137.98973423117</v>
      </c>
      <c r="AA88" s="1171"/>
      <c r="AB88" s="1174"/>
      <c r="AC88" s="1173">
        <f>AC30-AC77+AC86</f>
        <v>120547.72549788683</v>
      </c>
      <c r="AD88" s="1171"/>
      <c r="AE88" s="1174"/>
      <c r="AF88" s="1173">
        <f>AF30-AF77+AF86</f>
        <v>146280.24174309606</v>
      </c>
      <c r="AG88" s="1171"/>
      <c r="AH88" s="1174"/>
      <c r="AI88" s="1173">
        <f>AI30-AI77+AI86</f>
        <v>92533.654390623706</v>
      </c>
      <c r="AJ88" s="1171"/>
      <c r="AK88" s="1174"/>
      <c r="AL88" s="1173">
        <f>AL30-AL77+AL86</f>
        <v>61268.115549527487</v>
      </c>
      <c r="AM88" s="1171"/>
      <c r="AN88" s="1174"/>
      <c r="AO88" s="1173">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5"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285">
        <v>2021</v>
      </c>
      <c r="D94" s="1286"/>
      <c r="E94" s="1287"/>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5" t="s">
        <v>155</v>
      </c>
      <c r="C100" s="1146">
        <f>+C97+C98+C99</f>
        <v>533</v>
      </c>
      <c r="D100" s="1147">
        <f>IF(C100&lt;=0,0,E100/C100)</f>
        <v>1500</v>
      </c>
      <c r="E100" s="1148">
        <f>+E97+E98+E99</f>
        <v>799500</v>
      </c>
      <c r="F100" s="1146">
        <f>+F97+F98+F99</f>
        <v>32</v>
      </c>
      <c r="G100" s="1147">
        <f>IF(F100&lt;=0,0,H100/F100)</f>
        <v>1500</v>
      </c>
      <c r="H100" s="1148">
        <f>+H97+H98+H99</f>
        <v>48000</v>
      </c>
      <c r="I100" s="1146">
        <f>+I97+I98+I99</f>
        <v>33</v>
      </c>
      <c r="J100" s="1147">
        <f>IF(I100&lt;=0,0,K100/I100)</f>
        <v>1500</v>
      </c>
      <c r="K100" s="1148">
        <f>+K97+K98+K99</f>
        <v>49500</v>
      </c>
      <c r="L100" s="1146">
        <f>+L97+L98+L99</f>
        <v>49</v>
      </c>
      <c r="M100" s="1147">
        <f>IF(L100&lt;=0,0,N100/L100)</f>
        <v>1500</v>
      </c>
      <c r="N100" s="1148">
        <f>+N97+N98+N99</f>
        <v>73500</v>
      </c>
      <c r="O100" s="1146">
        <f>+O97+O98+O99</f>
        <v>51</v>
      </c>
      <c r="P100" s="1147">
        <f>IF(O100&lt;=0,0,Q100/O100)</f>
        <v>1500</v>
      </c>
      <c r="Q100" s="1148">
        <f>+Q97+Q98+Q99</f>
        <v>76500</v>
      </c>
      <c r="R100" s="1146">
        <f>+R97+R98+R99</f>
        <v>53</v>
      </c>
      <c r="S100" s="1147">
        <f>IF(R100&lt;=0,0,T100/R100)</f>
        <v>1500</v>
      </c>
      <c r="T100" s="1148">
        <f>+T97+T98+T99</f>
        <v>79500</v>
      </c>
      <c r="U100" s="1146">
        <f>+U97+U98+U99</f>
        <v>51</v>
      </c>
      <c r="V100" s="1147">
        <f>IF(U100&lt;=0,0,W100/U100)</f>
        <v>1500</v>
      </c>
      <c r="W100" s="1148">
        <f>+W97+W98+W99</f>
        <v>76500</v>
      </c>
      <c r="X100" s="1146">
        <f>+X97+X98+X99</f>
        <v>48</v>
      </c>
      <c r="Y100" s="1147">
        <f>IF(X100&lt;=0,0,Z100/X100)</f>
        <v>1500</v>
      </c>
      <c r="Z100" s="1148">
        <f>+Z97+Z98+Z99</f>
        <v>72000</v>
      </c>
      <c r="AA100" s="1146">
        <f>+AA97+AA98+AA99</f>
        <v>47</v>
      </c>
      <c r="AB100" s="1147">
        <f>IF(AA100&lt;=0,0,AC100/AA100)</f>
        <v>1500</v>
      </c>
      <c r="AC100" s="1148">
        <f>+AC97+AC98+AC99</f>
        <v>70500</v>
      </c>
      <c r="AD100" s="1146">
        <f>+AD97+AD98+AD99</f>
        <v>47</v>
      </c>
      <c r="AE100" s="1147">
        <f>IF(AD100&lt;=0,0,AF100/AD100)</f>
        <v>1500</v>
      </c>
      <c r="AF100" s="1148">
        <f>+AF97+AF98+AF99</f>
        <v>70500</v>
      </c>
      <c r="AG100" s="1146">
        <f>+AG97+AG98+AG99</f>
        <v>46</v>
      </c>
      <c r="AH100" s="1147">
        <f>IF(AG100&lt;=0,0,AI100/AG100)</f>
        <v>1500</v>
      </c>
      <c r="AI100" s="1148">
        <f>+AI97+AI98+AI99</f>
        <v>69000</v>
      </c>
      <c r="AJ100" s="1146">
        <f>+AJ97+AJ98+AJ99</f>
        <v>41</v>
      </c>
      <c r="AK100" s="1147">
        <f>IF(AJ100&lt;=0,0,AL100/AJ100)</f>
        <v>1500</v>
      </c>
      <c r="AL100" s="1148">
        <f>+AL97+AL98+AL99</f>
        <v>61500</v>
      </c>
      <c r="AM100" s="1146">
        <f>+AM97+AM98+AM99</f>
        <v>35</v>
      </c>
      <c r="AN100" s="1147">
        <f>IF(AM100&lt;=0,0,AO100/AM100)</f>
        <v>1500</v>
      </c>
      <c r="AO100" s="1148">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5" t="s">
        <v>108</v>
      </c>
      <c r="C108" s="1146">
        <f>C100</f>
        <v>533</v>
      </c>
      <c r="D108" s="1147">
        <f>IF(C108&lt;=0,0,E108/C108)</f>
        <v>2000</v>
      </c>
      <c r="E108" s="1148">
        <f>E105+E106+E107</f>
        <v>1066000</v>
      </c>
      <c r="F108" s="1146">
        <f>F100</f>
        <v>32</v>
      </c>
      <c r="G108" s="1147">
        <f>IF(F108&lt;=0,0,H108/F108)</f>
        <v>2000</v>
      </c>
      <c r="H108" s="1148">
        <f>H105+H106+H107</f>
        <v>64000</v>
      </c>
      <c r="I108" s="1146">
        <f>I100</f>
        <v>33</v>
      </c>
      <c r="J108" s="1147">
        <f>IF(I108&lt;=0,0,K108/I108)</f>
        <v>2000</v>
      </c>
      <c r="K108" s="1148">
        <f>K105+K106+K107</f>
        <v>66000</v>
      </c>
      <c r="L108" s="1146">
        <f>L100</f>
        <v>49</v>
      </c>
      <c r="M108" s="1147">
        <f>IF(L108&lt;=0,0,N108/L108)</f>
        <v>2000</v>
      </c>
      <c r="N108" s="1148">
        <f>N105+N106+N107</f>
        <v>98000</v>
      </c>
      <c r="O108" s="1146">
        <f>O100</f>
        <v>51</v>
      </c>
      <c r="P108" s="1147">
        <f>IF(O108&lt;=0,0,Q108/O108)</f>
        <v>2000</v>
      </c>
      <c r="Q108" s="1148">
        <f>Q105+Q106+Q107</f>
        <v>102000</v>
      </c>
      <c r="R108" s="1146">
        <f>R100</f>
        <v>53</v>
      </c>
      <c r="S108" s="1147">
        <f>IF(R108&lt;=0,0,T108/R108)</f>
        <v>2000</v>
      </c>
      <c r="T108" s="1148">
        <f>T105+T106+T107</f>
        <v>106000</v>
      </c>
      <c r="U108" s="1146">
        <f>U100</f>
        <v>51</v>
      </c>
      <c r="V108" s="1147">
        <f>IF(U108&lt;=0,0,W108/U108)</f>
        <v>2000</v>
      </c>
      <c r="W108" s="1148">
        <f>W105+W106+W107</f>
        <v>102000</v>
      </c>
      <c r="X108" s="1146">
        <f>X100</f>
        <v>48</v>
      </c>
      <c r="Y108" s="1147">
        <f>IF(X108&lt;=0,0,Z108/X108)</f>
        <v>2000</v>
      </c>
      <c r="Z108" s="1148">
        <f>Z105+Z106+Z107</f>
        <v>96000</v>
      </c>
      <c r="AA108" s="1146">
        <f>AA100</f>
        <v>47</v>
      </c>
      <c r="AB108" s="1147">
        <f>IF(AA108&lt;=0,0,AC108/AA108)</f>
        <v>2000</v>
      </c>
      <c r="AC108" s="1148">
        <f>AC105+AC106+AC107</f>
        <v>94000</v>
      </c>
      <c r="AD108" s="1146">
        <f>AD100</f>
        <v>47</v>
      </c>
      <c r="AE108" s="1147">
        <f>IF(AD108&lt;=0,0,AF108/AD108)</f>
        <v>2000</v>
      </c>
      <c r="AF108" s="1148">
        <f>AF105+AF106+AF107</f>
        <v>94000</v>
      </c>
      <c r="AG108" s="1146">
        <f>AG100</f>
        <v>46</v>
      </c>
      <c r="AH108" s="1147">
        <f>IF(AG108&lt;=0,0,AI108/AG108)</f>
        <v>2000</v>
      </c>
      <c r="AI108" s="1148">
        <f>AI105+AI106+AI107</f>
        <v>92000</v>
      </c>
      <c r="AJ108" s="1146">
        <f>AJ100</f>
        <v>41</v>
      </c>
      <c r="AK108" s="1147">
        <f>IF(AJ108&lt;=0,0,AL108/AJ108)</f>
        <v>2000</v>
      </c>
      <c r="AL108" s="1148">
        <f>AL105+AL106+AL107</f>
        <v>82000</v>
      </c>
      <c r="AM108" s="1146">
        <f>AM100</f>
        <v>35</v>
      </c>
      <c r="AN108" s="1147">
        <f>IF(AM108&lt;=0,0,AO108/AM108)</f>
        <v>2000</v>
      </c>
      <c r="AO108" s="1148">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4"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5"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7">
        <f>E115/E100</f>
        <v>0.31552845528455287</v>
      </c>
      <c r="D115" s="764">
        <f>IF(C$100=0,0,E115/(C$97+C$98+C99))</f>
        <v>473.29268292682929</v>
      </c>
      <c r="E115" s="752">
        <f t="shared" ref="E115:E124" si="34">+SUM(H115,K115,N115,Q115,T115,W115,Z115,AC115,AF115,AI115,AL115,AO115)</f>
        <v>252265</v>
      </c>
      <c r="F115" s="1177">
        <f>H115/H100</f>
        <v>0.32833333333333331</v>
      </c>
      <c r="G115" s="764">
        <f>IF(F$100=0,0,H115/(F$97+F$98+F99))</f>
        <v>492.5</v>
      </c>
      <c r="H115" s="765">
        <f>'[1]Vehicules usages 2026'!E61</f>
        <v>15760</v>
      </c>
      <c r="I115" s="1177">
        <f>K115/K100</f>
        <v>0.32656565656565656</v>
      </c>
      <c r="J115" s="764">
        <f>IF(I$100=0,0,K115/(I$97+I$98+I99))</f>
        <v>489.84848484848487</v>
      </c>
      <c r="K115" s="765">
        <f>'[1]Vehicules usages 2026'!F61</f>
        <v>16165</v>
      </c>
      <c r="L115" s="1177">
        <f>N115/N100</f>
        <v>0.30809523809523809</v>
      </c>
      <c r="M115" s="764">
        <f>IF(L$100=0,0,N115/(L$97+L$98+L99))</f>
        <v>462.14285714285717</v>
      </c>
      <c r="N115" s="765">
        <f>'[1]Vehicules usages 2026'!G61</f>
        <v>22645</v>
      </c>
      <c r="O115" s="1177">
        <f>Q115/Q100</f>
        <v>0.30660130718954248</v>
      </c>
      <c r="P115" s="764">
        <f>IF(O$100=0,0,Q115/(O$97+O$98+O99))</f>
        <v>459.9019607843137</v>
      </c>
      <c r="Q115" s="765">
        <f>'[1]Vehicules usages 2026'!H61</f>
        <v>23455</v>
      </c>
      <c r="R115" s="1177">
        <f>T115/T100</f>
        <v>0.31402515723270441</v>
      </c>
      <c r="S115" s="764">
        <f>IF(R$100=0,0,T115/(R$97+R$98+R99))</f>
        <v>471.03773584905662</v>
      </c>
      <c r="T115" s="765">
        <f>'[1]Vehicules usages 2026'!I61</f>
        <v>24965</v>
      </c>
      <c r="U115" s="1177">
        <f>W115/W100</f>
        <v>0.30660130718954248</v>
      </c>
      <c r="V115" s="764">
        <f>IF(U$100=0,0,W115/(U$97+U$98+U99))</f>
        <v>459.9019607843137</v>
      </c>
      <c r="W115" s="765">
        <f>'[1]Vehicules usages 2026'!J61</f>
        <v>23455</v>
      </c>
      <c r="X115" s="1177">
        <f>Z115/Z100</f>
        <v>0.31861111111111112</v>
      </c>
      <c r="Y115" s="764">
        <f>IF(X$100=0,0,Z115/(X$97+X$98+X99))</f>
        <v>477.91666666666669</v>
      </c>
      <c r="Z115" s="765">
        <f>'[1]Vehicules usages 2026'!K61</f>
        <v>22940</v>
      </c>
      <c r="AA115" s="1177">
        <f>AC115/AC100</f>
        <v>0.30971631205673761</v>
      </c>
      <c r="AB115" s="764">
        <f>IF(AA$100=0,0,AC115/(AA$97+AA$98+AA99))</f>
        <v>464.57446808510639</v>
      </c>
      <c r="AC115" s="765">
        <f>'[1]Vehicules usages 2026'!L61</f>
        <v>21835</v>
      </c>
      <c r="AD115" s="1177">
        <f>AF115/AF100</f>
        <v>0.30971631205673761</v>
      </c>
      <c r="AE115" s="764">
        <f>IF(AD$100=0,0,AF115/(AD$97+AD$98+AD99))</f>
        <v>464.57446808510639</v>
      </c>
      <c r="AF115" s="765">
        <f>'[1]Vehicules usages 2026'!M61</f>
        <v>21835</v>
      </c>
      <c r="AG115" s="1177">
        <f>AI115/AI100</f>
        <v>0.32072463768115944</v>
      </c>
      <c r="AH115" s="764">
        <f>IF(AG$100=0,0,AI115/(AG$97+AG$98+AG99))</f>
        <v>481.08695652173913</v>
      </c>
      <c r="AI115" s="765">
        <f>'[1]Vehicules usages 2026'!N61</f>
        <v>22130</v>
      </c>
      <c r="AJ115" s="1177">
        <f>AL115/AL100</f>
        <v>0.31552845528455287</v>
      </c>
      <c r="AK115" s="764">
        <f>IF(AJ$100=0,0,AL115/(AJ$97+AJ$98+AJ99))</f>
        <v>473.29268292682929</v>
      </c>
      <c r="AL115" s="765">
        <f>'[1]Vehicules usages 2026'!O61</f>
        <v>19405</v>
      </c>
      <c r="AM115" s="1177">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6" t="s">
        <v>118</v>
      </c>
      <c r="C125" s="1157" t="s">
        <v>119</v>
      </c>
      <c r="D125" s="1158">
        <f>IFERROR(E125/E$111,0)</f>
        <v>0.37695799557848192</v>
      </c>
      <c r="E125" s="1159">
        <f>SUM(E115:E124)</f>
        <v>767298</v>
      </c>
      <c r="F125" s="1157" t="s">
        <v>119</v>
      </c>
      <c r="G125" s="1158">
        <f>IFERROR(H125/H$111,0)</f>
        <v>0.4365152991923642</v>
      </c>
      <c r="H125" s="1159">
        <f>SUM(H115:H124)</f>
        <v>52381.835903083702</v>
      </c>
      <c r="I125" s="1157" t="s">
        <v>119</v>
      </c>
      <c r="J125" s="1158">
        <f>IFERROR(K125/K$111,0)</f>
        <v>0.43117451358296627</v>
      </c>
      <c r="K125" s="1159">
        <f>SUM(K115:K124)</f>
        <v>51740.941629955953</v>
      </c>
      <c r="L125" s="1157" t="s">
        <v>119</v>
      </c>
      <c r="M125" s="1158">
        <f>IFERROR(N125/N$111,0)</f>
        <v>0.38974460394139632</v>
      </c>
      <c r="N125" s="1159">
        <f>SUM(N115:N124)</f>
        <v>68595.050293685752</v>
      </c>
      <c r="O125" s="1157" t="s">
        <v>119</v>
      </c>
      <c r="P125" s="1158">
        <f>IFERROR(Q125/Q$111,0)</f>
        <v>0.37882262128316269</v>
      </c>
      <c r="Q125" s="1159">
        <f>SUM(Q115:Q124)</f>
        <v>70650.41886930984</v>
      </c>
      <c r="R125" s="1157" t="s">
        <v>119</v>
      </c>
      <c r="S125" s="1158">
        <f>IFERROR(T125/T$111,0)</f>
        <v>0.37386526512051949</v>
      </c>
      <c r="T125" s="1159">
        <f>SUM(T115:T124)</f>
        <v>73464.524596182076</v>
      </c>
      <c r="U125" s="1157" t="s">
        <v>119</v>
      </c>
      <c r="V125" s="1158">
        <f>IFERROR(W125/W$111,0)</f>
        <v>0.35622699276168435</v>
      </c>
      <c r="W125" s="1159">
        <f>SUM(W115:W124)</f>
        <v>70532.944566813501</v>
      </c>
      <c r="X125" s="1157" t="s">
        <v>119</v>
      </c>
      <c r="Y125" s="1158">
        <f>IFERROR(Z125/Z$111,0)</f>
        <v>0.35783349756549959</v>
      </c>
      <c r="Z125" s="1159">
        <f>SUM(Z115:Z124)</f>
        <v>67988.364537444926</v>
      </c>
      <c r="AA125" s="1157" t="s">
        <v>119</v>
      </c>
      <c r="AB125" s="1158">
        <f>IFERROR(AC125/AC$111,0)</f>
        <v>0.35552968634045445</v>
      </c>
      <c r="AC125" s="1159">
        <f>SUM(AC115:AC124)</f>
        <v>66128.521659324528</v>
      </c>
      <c r="AD125" s="1157" t="s">
        <v>119</v>
      </c>
      <c r="AE125" s="1158">
        <f>IFERROR(AF125/AF$111,0)</f>
        <v>0.36502643374627819</v>
      </c>
      <c r="AF125" s="1159">
        <f>SUM(AF115:AF124)</f>
        <v>66069.784508076351</v>
      </c>
      <c r="AG125" s="1157" t="s">
        <v>119</v>
      </c>
      <c r="AH125" s="1158">
        <f>IFERROR(AI125/AI$111,0)</f>
        <v>0.35818755276540748</v>
      </c>
      <c r="AI125" s="1159">
        <f>SUM(AI115:AI124)</f>
        <v>65727.415932452277</v>
      </c>
      <c r="AJ125" s="1157" t="s">
        <v>119</v>
      </c>
      <c r="AK125" s="1158">
        <f>IFERROR(AL125/AL$111,0)</f>
        <v>0.37249971637824164</v>
      </c>
      <c r="AL125" s="1159">
        <f>SUM(AL115:AL124)</f>
        <v>59786.204478707783</v>
      </c>
      <c r="AM125" s="1157" t="s">
        <v>119</v>
      </c>
      <c r="AN125" s="1158">
        <f>IFERROR(AO125/AO$111,0)</f>
        <v>0.39441449472700574</v>
      </c>
      <c r="AO125" s="1159">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60"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61"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60" t="s">
        <v>122</v>
      </c>
      <c r="C128" s="1144"/>
      <c r="D128" s="1162"/>
      <c r="E128" s="1163">
        <f t="shared" si="35"/>
        <v>3623.6333333333332</v>
      </c>
      <c r="F128" s="1144"/>
      <c r="G128" s="1162"/>
      <c r="H128" s="1164">
        <f>[1]Salaire!$E$167</f>
        <v>3623.6333333333332</v>
      </c>
      <c r="I128" s="1144"/>
      <c r="J128" s="1162"/>
      <c r="K128" s="1164">
        <f>[1]Salaire!$F$167</f>
        <v>0</v>
      </c>
      <c r="L128" s="1144"/>
      <c r="M128" s="1162"/>
      <c r="N128" s="1164">
        <f>[1]Salaire!$G$167</f>
        <v>0</v>
      </c>
      <c r="O128" s="1144"/>
      <c r="P128" s="1162"/>
      <c r="Q128" s="1164">
        <f>[1]Salaire!$H$167</f>
        <v>0</v>
      </c>
      <c r="R128" s="1144"/>
      <c r="S128" s="1162"/>
      <c r="T128" s="1164">
        <f>[1]Salaire!$I$167</f>
        <v>0</v>
      </c>
      <c r="U128" s="1144"/>
      <c r="V128" s="1162"/>
      <c r="W128" s="1164">
        <f>[1]Salaire!$J$167</f>
        <v>0</v>
      </c>
      <c r="X128" s="1144"/>
      <c r="Y128" s="1162"/>
      <c r="Z128" s="1164">
        <f>[1]Salaire!$K$167</f>
        <v>0</v>
      </c>
      <c r="AA128" s="1144"/>
      <c r="AB128" s="1162"/>
      <c r="AC128" s="1164">
        <f>[1]Salaire!$L$167</f>
        <v>0</v>
      </c>
      <c r="AD128" s="1144"/>
      <c r="AE128" s="1162"/>
      <c r="AF128" s="1164">
        <f>[1]Salaire!$M$167</f>
        <v>0</v>
      </c>
      <c r="AG128" s="1144"/>
      <c r="AH128" s="1162"/>
      <c r="AI128" s="1164">
        <f>[1]Salaire!$N$167</f>
        <v>0</v>
      </c>
      <c r="AJ128" s="1144"/>
      <c r="AK128" s="1162"/>
      <c r="AL128" s="1164">
        <f>[1]Salaire!$O$167</f>
        <v>0</v>
      </c>
      <c r="AM128" s="1144"/>
      <c r="AN128" s="1162"/>
      <c r="AO128" s="1164">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60"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61"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60" t="s">
        <v>125</v>
      </c>
      <c r="C134" s="1144"/>
      <c r="D134" s="1162"/>
      <c r="E134" s="1163">
        <f t="shared" si="35"/>
        <v>110892.70831174657</v>
      </c>
      <c r="F134" s="1144"/>
      <c r="G134" s="1162"/>
      <c r="H134" s="1164">
        <f>'[1]DAS-VAC'!$F$52</f>
        <v>8740.8272047497358</v>
      </c>
      <c r="I134" s="1144"/>
      <c r="J134" s="1162"/>
      <c r="K134" s="1164">
        <f>'[1]DAS-VAC'!$G$52</f>
        <v>8149.3753047497357</v>
      </c>
      <c r="L134" s="1144"/>
      <c r="M134" s="1162"/>
      <c r="N134" s="1164">
        <f>'[1]DAS-VAC'!$H$52</f>
        <v>8925.9703047497369</v>
      </c>
      <c r="O134" s="1144"/>
      <c r="P134" s="1162"/>
      <c r="Q134" s="1164">
        <f>'[1]DAS-VAC'!$I$52</f>
        <v>10982.032304749737</v>
      </c>
      <c r="R134" s="1144"/>
      <c r="S134" s="1162"/>
      <c r="T134" s="1164">
        <f>'[1]DAS-VAC'!$J$52</f>
        <v>11092.540493437169</v>
      </c>
      <c r="U134" s="1144"/>
      <c r="V134" s="1162"/>
      <c r="W134" s="1164">
        <f>'[1]DAS-VAC'!$K$52</f>
        <v>9204.3163047497364</v>
      </c>
      <c r="X134" s="1144"/>
      <c r="Y134" s="1162"/>
      <c r="Z134" s="1164">
        <f>'[1]DAS-VAC'!$L$52</f>
        <v>9054.4184934371697</v>
      </c>
      <c r="AA134" s="1144"/>
      <c r="AB134" s="1162"/>
      <c r="AC134" s="1164">
        <f>'[1]DAS-VAC'!$M$52</f>
        <v>9204.3163047497364</v>
      </c>
      <c r="AD134" s="1144"/>
      <c r="AE134" s="1162"/>
      <c r="AF134" s="1164">
        <f>'[1]DAS-VAC'!$N$52</f>
        <v>8908.0303047497364</v>
      </c>
      <c r="AG134" s="1144"/>
      <c r="AH134" s="1162"/>
      <c r="AI134" s="1164">
        <f>'[1]DAS-VAC'!$O$52</f>
        <v>9777.1934934371693</v>
      </c>
      <c r="AJ134" s="1144"/>
      <c r="AK134" s="1162"/>
      <c r="AL134" s="1164">
        <f>'[1]DAS-VAC'!$P$52</f>
        <v>9056.1733047497364</v>
      </c>
      <c r="AM134" s="1144"/>
      <c r="AN134" s="1162"/>
      <c r="AO134" s="1164">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5"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60"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6" t="s">
        <v>128</v>
      </c>
      <c r="C138" s="1157" t="s">
        <v>119</v>
      </c>
      <c r="D138" s="1158">
        <f>IFERROR(E138/E$111,0)</f>
        <v>0.24739651037839275</v>
      </c>
      <c r="E138" s="1159">
        <f>SUM(E126:E136)</f>
        <v>503575.59687521844</v>
      </c>
      <c r="F138" s="1157" t="s">
        <v>119</v>
      </c>
      <c r="G138" s="1158">
        <f>IFERROR(H138/H$111,0)</f>
        <v>0.36312740409949895</v>
      </c>
      <c r="H138" s="1159">
        <f>SUM(H126:H136)</f>
        <v>43575.288491939871</v>
      </c>
      <c r="I138" s="1157" t="s">
        <v>119</v>
      </c>
      <c r="J138" s="1158">
        <f>IFERROR(K138/K$111,0)</f>
        <v>0.31586597343283235</v>
      </c>
      <c r="K138" s="1159">
        <f>SUM(K126:K136)</f>
        <v>37903.916811939882</v>
      </c>
      <c r="L138" s="1157" t="s">
        <v>119</v>
      </c>
      <c r="M138" s="1158">
        <f>IFERROR(N138/N$111,0)</f>
        <v>0.22666932279511295</v>
      </c>
      <c r="N138" s="1159">
        <f>SUM(N126:N136)</f>
        <v>39893.80081193988</v>
      </c>
      <c r="O138" s="1157" t="s">
        <v>119</v>
      </c>
      <c r="P138" s="1158">
        <f>IFERROR(Q138/Q$111,0)</f>
        <v>0.24215596360289482</v>
      </c>
      <c r="Q138" s="1159">
        <f>SUM(Q126:Q136)</f>
        <v>45162.087211939885</v>
      </c>
      <c r="R138" s="1157" t="s">
        <v>119</v>
      </c>
      <c r="S138" s="1158">
        <f>IFERROR(T138/T$111,0)</f>
        <v>0.24527581208613156</v>
      </c>
      <c r="T138" s="1159">
        <f>SUM(T126:T136)</f>
        <v>48196.69707492485</v>
      </c>
      <c r="U138" s="1157" t="s">
        <v>119</v>
      </c>
      <c r="V138" s="1158">
        <f>IFERROR(W138/W$111,0)</f>
        <v>0.20508591925222161</v>
      </c>
      <c r="W138" s="1159">
        <f>SUM(W126:W136)</f>
        <v>40607.012011939878</v>
      </c>
      <c r="X138" s="1157" t="s">
        <v>119</v>
      </c>
      <c r="Y138" s="1158">
        <f>IFERROR(Z138/Z$111,0)</f>
        <v>0.22618094039434131</v>
      </c>
      <c r="Z138" s="1159">
        <f>SUM(Z126:Z136)</f>
        <v>42974.378674924847</v>
      </c>
      <c r="AA138" s="1157" t="s">
        <v>119</v>
      </c>
      <c r="AB138" s="1158">
        <f>IFERROR(AC138/AC$111,0)</f>
        <v>0.21831726888139719</v>
      </c>
      <c r="AC138" s="1159">
        <f>SUM(AC126:AC136)</f>
        <v>40607.012011939878</v>
      </c>
      <c r="AD138" s="1157" t="s">
        <v>119</v>
      </c>
      <c r="AE138" s="1158">
        <f>IFERROR(AF138/AF$111,0)</f>
        <v>0.22015377244165679</v>
      </c>
      <c r="AF138" s="1159">
        <f>SUM(AF126:AF136)</f>
        <v>39847.832811939879</v>
      </c>
      <c r="AG138" s="1157" t="s">
        <v>119</v>
      </c>
      <c r="AH138" s="1158">
        <f>IFERROR(AI138/AI$111,0)</f>
        <v>0.24428533337833705</v>
      </c>
      <c r="AI138" s="1159">
        <f>SUM(AI126:AI136)</f>
        <v>44826.35867492485</v>
      </c>
      <c r="AJ138" s="1157" t="s">
        <v>119</v>
      </c>
      <c r="AK138" s="1158">
        <f>IFERROR(AL138/AL$111,0)</f>
        <v>0.25063814586878425</v>
      </c>
      <c r="AL138" s="1159">
        <f>SUM(AL126:AL136)</f>
        <v>40227.422411939871</v>
      </c>
      <c r="AM138" s="1157" t="s">
        <v>119</v>
      </c>
      <c r="AN138" s="1158">
        <f>IFERROR(AO138/AO$111,0)</f>
        <v>0.28911847181763528</v>
      </c>
      <c r="AO138" s="1159">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6" t="s">
        <v>143</v>
      </c>
      <c r="C156" s="1157" t="s">
        <v>119</v>
      </c>
      <c r="D156" s="1158">
        <f>IFERROR(E156/E$111,0)</f>
        <v>5.2795071071044697E-2</v>
      </c>
      <c r="E156" s="1159">
        <f>+SUM(E139:E155)</f>
        <v>107464.36716511149</v>
      </c>
      <c r="F156" s="1157" t="s">
        <v>119</v>
      </c>
      <c r="G156" s="1158">
        <f>IFERROR(H156/H$111,0)</f>
        <v>8.5971361865822216E-2</v>
      </c>
      <c r="H156" s="1159">
        <f>+SUM(H139:H155)</f>
        <v>10316.563423898666</v>
      </c>
      <c r="I156" s="1157" t="s">
        <v>119</v>
      </c>
      <c r="J156" s="1158">
        <f>IFERROR(K156/K$111,0)</f>
        <v>7.0585142285554431E-2</v>
      </c>
      <c r="K156" s="1159">
        <f>+SUM(K139:K155)</f>
        <v>8470.2170742665312</v>
      </c>
      <c r="L156" s="1157" t="s">
        <v>119</v>
      </c>
      <c r="M156" s="1158">
        <f>IFERROR(N156/N$111,0)</f>
        <v>4.844610345110216E-2</v>
      </c>
      <c r="N156" s="1159">
        <f>+SUM(N139:N155)</f>
        <v>8526.5142073939805</v>
      </c>
      <c r="O156" s="1157" t="s">
        <v>119</v>
      </c>
      <c r="P156" s="1158">
        <f>IFERROR(Q156/Q$111,0)</f>
        <v>4.6012182921893567E-2</v>
      </c>
      <c r="Q156" s="1159">
        <f>+SUM(Q139:Q155)</f>
        <v>8581.2721149331501</v>
      </c>
      <c r="R156" s="1157" t="s">
        <v>119</v>
      </c>
      <c r="S156" s="1158">
        <f>IFERROR(T156/T$111,0)</f>
        <v>4.3979149192926184E-2</v>
      </c>
      <c r="T156" s="1159">
        <f>+SUM(T139:T155)</f>
        <v>8641.9028164099946</v>
      </c>
      <c r="U156" s="1157" t="s">
        <v>119</v>
      </c>
      <c r="V156" s="1158">
        <f>IFERROR(W156/W$111,0)</f>
        <v>4.5583692799610775E-2</v>
      </c>
      <c r="W156" s="1159">
        <f>+SUM(W139:W155)</f>
        <v>9025.5711743229331</v>
      </c>
      <c r="X156" s="1157" t="s">
        <v>119</v>
      </c>
      <c r="Y156" s="1158">
        <f>IFERROR(Z156/Z$111,0)</f>
        <v>4.4730004876567912E-2</v>
      </c>
      <c r="Z156" s="1159">
        <f>+SUM(Z139:Z155)</f>
        <v>8498.7009265479028</v>
      </c>
      <c r="AA156" s="1157" t="s">
        <v>119</v>
      </c>
      <c r="AB156" s="1158">
        <f>IFERROR(AC156/AC$111,0)</f>
        <v>4.5551232980674018E-2</v>
      </c>
      <c r="AC156" s="1159">
        <f>+SUM(AC139:AC155)</f>
        <v>8472.529334405368</v>
      </c>
      <c r="AD156" s="1157" t="s">
        <v>119</v>
      </c>
      <c r="AE156" s="1158">
        <f>IFERROR(AF156/AF$111,0)</f>
        <v>4.7006462741995041E-2</v>
      </c>
      <c r="AF156" s="1159">
        <f>+SUM(AF139:AF155)</f>
        <v>8508.1697563011021</v>
      </c>
      <c r="AG156" s="1157" t="s">
        <v>119</v>
      </c>
      <c r="AH156" s="1158">
        <f>IFERROR(AI156/AI$111,0)</f>
        <v>4.833955011127429E-2</v>
      </c>
      <c r="AI156" s="1159">
        <f>+SUM(AI139:AI155)</f>
        <v>8870.3074454188318</v>
      </c>
      <c r="AJ156" s="1157" t="s">
        <v>119</v>
      </c>
      <c r="AK156" s="1158">
        <f>IFERROR(AL156/AL$111,0)</f>
        <v>5.7691703700358685E-2</v>
      </c>
      <c r="AL156" s="1159">
        <f>+SUM(AL139:AL155)</f>
        <v>9259.5184439075692</v>
      </c>
      <c r="AM156" s="1157" t="s">
        <v>119</v>
      </c>
      <c r="AN156" s="1158">
        <f>IFERROR(AO156/AO$111,0)</f>
        <v>7.4858912344039727E-2</v>
      </c>
      <c r="AO156" s="1159">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6" t="s">
        <v>144</v>
      </c>
      <c r="C158" s="1157" t="s">
        <v>119</v>
      </c>
      <c r="D158" s="1158">
        <f>IFERROR(E158/E$111,0)</f>
        <v>0.67714957702791934</v>
      </c>
      <c r="E158" s="1167">
        <f>E125+E138+E156</f>
        <v>1378337.9640403299</v>
      </c>
      <c r="F158" s="1157" t="s">
        <v>119</v>
      </c>
      <c r="G158" s="1158">
        <f>IFERROR(H158/H$111,0)</f>
        <v>0.88561406515768526</v>
      </c>
      <c r="H158" s="1167">
        <f>H125+H138+H156</f>
        <v>106273.68781892223</v>
      </c>
      <c r="I158" s="1157" t="s">
        <v>119</v>
      </c>
      <c r="J158" s="1158">
        <f>IFERROR(K158/K$111,0)</f>
        <v>0.81762562930135307</v>
      </c>
      <c r="K158" s="1167">
        <f>K125+K138+K156</f>
        <v>98115.075516162367</v>
      </c>
      <c r="L158" s="1157" t="s">
        <v>119</v>
      </c>
      <c r="M158" s="1158">
        <f>IFERROR(N158/N$111,0)</f>
        <v>0.66486003018761142</v>
      </c>
      <c r="N158" s="1167">
        <f>N125+N138+N156</f>
        <v>117015.3653130196</v>
      </c>
      <c r="O158" s="1157" t="s">
        <v>119</v>
      </c>
      <c r="P158" s="1158">
        <f>IFERROR(Q158/Q$111,0)</f>
        <v>0.66699076780795108</v>
      </c>
      <c r="Q158" s="1167">
        <f>Q125+Q138+Q156</f>
        <v>124393.77819618287</v>
      </c>
      <c r="R158" s="1157" t="s">
        <v>119</v>
      </c>
      <c r="S158" s="1158">
        <f>IFERROR(T158/T$111,0)</f>
        <v>0.66312022639957724</v>
      </c>
      <c r="T158" s="1167">
        <f>T125+T138+T156</f>
        <v>130303.12448751694</v>
      </c>
      <c r="U158" s="1157" t="s">
        <v>119</v>
      </c>
      <c r="V158" s="1158">
        <f>IFERROR(W158/W$111,0)</f>
        <v>0.6068966048135167</v>
      </c>
      <c r="W158" s="1167">
        <f>W125+W138+W156</f>
        <v>120165.52775307631</v>
      </c>
      <c r="X158" s="1157" t="s">
        <v>119</v>
      </c>
      <c r="Y158" s="1158">
        <f>IFERROR(Z158/Z$111,0)</f>
        <v>0.62874444283640873</v>
      </c>
      <c r="Z158" s="1167">
        <f>Z125+Z138+Z156</f>
        <v>119461.44413891766</v>
      </c>
      <c r="AA158" s="1157" t="s">
        <v>119</v>
      </c>
      <c r="AB158" s="1158">
        <f>IFERROR(AC158/AC$111,0)</f>
        <v>0.61939818820252568</v>
      </c>
      <c r="AC158" s="1167">
        <f>AC125+AC138+AC156</f>
        <v>115208.06300566977</v>
      </c>
      <c r="AD158" s="1157" t="s">
        <v>119</v>
      </c>
      <c r="AE158" s="1158">
        <f>IFERROR(AF158/AF$111,0)</f>
        <v>0.63218666892993003</v>
      </c>
      <c r="AF158" s="1167">
        <f>AF125+AF138+AF156</f>
        <v>114425.78707631733</v>
      </c>
      <c r="AG158" s="1157" t="s">
        <v>119</v>
      </c>
      <c r="AH158" s="1158">
        <f>IFERROR(AI158/AI$111,0)</f>
        <v>0.65081243625501883</v>
      </c>
      <c r="AI158" s="1167">
        <f>AI125+AI138+AI156</f>
        <v>119424.08205279596</v>
      </c>
      <c r="AJ158" s="1157" t="s">
        <v>119</v>
      </c>
      <c r="AK158" s="1158">
        <f>IFERROR(AL158/AL$111,0)</f>
        <v>0.68082956594738464</v>
      </c>
      <c r="AL158" s="1167">
        <f>AL125+AL138+AL156</f>
        <v>109273.14533455523</v>
      </c>
      <c r="AM158" s="1157" t="s">
        <v>119</v>
      </c>
      <c r="AN158" s="1158">
        <f>IFERROR(AO158/AO$111,0)</f>
        <v>0.75839187888868076</v>
      </c>
      <c r="AO158" s="1167">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6" t="s">
        <v>150</v>
      </c>
      <c r="C166" s="1178"/>
      <c r="D166" s="1179"/>
      <c r="E166" s="1167">
        <f>+SUM(E159:E165)</f>
        <v>242541.65</v>
      </c>
      <c r="F166" s="1178"/>
      <c r="G166" s="1179"/>
      <c r="H166" s="1167">
        <f>+SUM(H159:H165)</f>
        <v>14561.599999999999</v>
      </c>
      <c r="I166" s="1178"/>
      <c r="J166" s="1179"/>
      <c r="K166" s="1167">
        <f>+SUM(K159:K165)</f>
        <v>15016.65</v>
      </c>
      <c r="L166" s="1178"/>
      <c r="M166" s="1179"/>
      <c r="N166" s="1167">
        <f>+SUM(N159:N165)</f>
        <v>22297.45</v>
      </c>
      <c r="O166" s="1178"/>
      <c r="P166" s="1179"/>
      <c r="Q166" s="1167">
        <f>+SUM(Q159:Q165)</f>
        <v>23207.55</v>
      </c>
      <c r="R166" s="1178"/>
      <c r="S166" s="1179"/>
      <c r="T166" s="1167">
        <f>+SUM(T159:T165)</f>
        <v>24117.649999999998</v>
      </c>
      <c r="U166" s="1178"/>
      <c r="V166" s="1179"/>
      <c r="W166" s="1167">
        <f>+SUM(W159:W165)</f>
        <v>23207.55</v>
      </c>
      <c r="X166" s="1178"/>
      <c r="Y166" s="1179"/>
      <c r="Z166" s="1167">
        <f>+SUM(Z159:Z165)</f>
        <v>21842.399999999998</v>
      </c>
      <c r="AA166" s="1178"/>
      <c r="AB166" s="1179"/>
      <c r="AC166" s="1167">
        <f>+SUM(AC159:AC165)</f>
        <v>21387.35</v>
      </c>
      <c r="AD166" s="1178"/>
      <c r="AE166" s="1179"/>
      <c r="AF166" s="1167">
        <f>+SUM(AF159:AF165)</f>
        <v>21387.35</v>
      </c>
      <c r="AG166" s="1178"/>
      <c r="AH166" s="1179"/>
      <c r="AI166" s="1167">
        <f>+SUM(AI159:AI165)</f>
        <v>20932.3</v>
      </c>
      <c r="AJ166" s="1178"/>
      <c r="AK166" s="1179"/>
      <c r="AL166" s="1167">
        <f>+SUM(AL159:AL165)</f>
        <v>18657.05</v>
      </c>
      <c r="AM166" s="1178"/>
      <c r="AN166" s="1179"/>
      <c r="AO166" s="1167">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70" t="s">
        <v>151</v>
      </c>
      <c r="C168" s="1170"/>
      <c r="D168" s="1180">
        <f>E168/E96</f>
        <v>4.8623147630078377E-2</v>
      </c>
      <c r="E168" s="1173">
        <f>E111-E158+E166</f>
        <v>899703.68595967011</v>
      </c>
      <c r="F168" s="1170"/>
      <c r="G168" s="1181"/>
      <c r="H168" s="1173">
        <f>H111-H158+H166</f>
        <v>28287.912181077765</v>
      </c>
      <c r="I168" s="1170"/>
      <c r="J168" s="1181"/>
      <c r="K168" s="1173">
        <f>K111-K158+K166</f>
        <v>36901.574483837634</v>
      </c>
      <c r="L168" s="1170"/>
      <c r="M168" s="1181"/>
      <c r="N168" s="1173">
        <f>N111-N158+N166</f>
        <v>81282.084686980394</v>
      </c>
      <c r="O168" s="1170"/>
      <c r="P168" s="1181"/>
      <c r="Q168" s="1173">
        <f>Q111-Q158+Q166</f>
        <v>85313.77180381713</v>
      </c>
      <c r="R168" s="1170"/>
      <c r="S168" s="1181"/>
      <c r="T168" s="1173">
        <f>T111-T158+T166</f>
        <v>90314.525512483058</v>
      </c>
      <c r="U168" s="1170"/>
      <c r="V168" s="1181"/>
      <c r="W168" s="1173">
        <f>W111-W158+W166</f>
        <v>101042.02224692369</v>
      </c>
      <c r="X168" s="1170"/>
      <c r="Y168" s="1181"/>
      <c r="Z168" s="1173">
        <f>Z111-Z158+Z166</f>
        <v>92380.95586108233</v>
      </c>
      <c r="AA168" s="1170"/>
      <c r="AB168" s="1181"/>
      <c r="AC168" s="1173">
        <f>AC111-AC158+AC166</f>
        <v>92179.286994330236</v>
      </c>
      <c r="AD168" s="1170"/>
      <c r="AE168" s="1181"/>
      <c r="AF168" s="1173">
        <f>AF111-AF158+AF166</f>
        <v>87961.562923682679</v>
      </c>
      <c r="AG168" s="1170"/>
      <c r="AH168" s="1181"/>
      <c r="AI168" s="1173">
        <f>AI111-AI158+AI166</f>
        <v>85008.217947204044</v>
      </c>
      <c r="AJ168" s="1170"/>
      <c r="AK168" s="1181"/>
      <c r="AL168" s="1173">
        <f>AL111-AL158+AL166</f>
        <v>69883.904665444774</v>
      </c>
      <c r="AM168" s="1170"/>
      <c r="AN168" s="1181"/>
      <c r="AO168" s="1173">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5"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6"/>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285">
        <v>2021</v>
      </c>
      <c r="D173" s="1286"/>
      <c r="E173" s="1287"/>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4" t="s">
        <v>166</v>
      </c>
      <c r="C178" s="1182">
        <f>+SUM(F178,I178,L178,O178,R178,U178,X178,AA178,AD178,AG178,AJ178,AM178)</f>
        <v>2377</v>
      </c>
      <c r="D178" s="1183">
        <f>+SUM(G178,J178,M178,P178,S178,V178,Y178,AB178,AE178,AH178,AK178,AN178)</f>
        <v>713100.00000000012</v>
      </c>
      <c r="E178" s="1163">
        <f>+SUM(H178,K178,N178,Q178,T178,W178,Z178,AC178,AF178,AI178,AL178,AO178)</f>
        <v>459949.5</v>
      </c>
      <c r="F178" s="1184">
        <f>'[1]Bud men fixes'!$E$76</f>
        <v>273.53966785057435</v>
      </c>
      <c r="G178" s="1185">
        <f>'[1]Bud men fixes'!$E$9</f>
        <v>82061.9003551723</v>
      </c>
      <c r="H178" s="1164">
        <f>'[1]Bud men fixes'!$E$8</f>
        <v>52929.925729086135</v>
      </c>
      <c r="I178" s="1184">
        <f>'[1]Bud men fixes'!$F$76</f>
        <v>235.88237362310653</v>
      </c>
      <c r="J178" s="1185">
        <f>'[1]Bud men fixes'!$F$9</f>
        <v>70764.712086931962</v>
      </c>
      <c r="K178" s="1164">
        <f>'[1]Bud men fixes'!$F$8</f>
        <v>45643.239296071115</v>
      </c>
      <c r="L178" s="1184">
        <f>'[1]Bud men fixes'!$G$76</f>
        <v>290.91736964263987</v>
      </c>
      <c r="M178" s="1185">
        <f>'[1]Bud men fixes'!$G$9</f>
        <v>87275.210892791962</v>
      </c>
      <c r="N178" s="1164">
        <f>'[1]Bud men fixes'!$G$8</f>
        <v>56292.511025850814</v>
      </c>
      <c r="O178" s="1184">
        <f>'[1]Bud men fixes'!$H$76</f>
        <v>139.91529733713244</v>
      </c>
      <c r="P178" s="1185">
        <f>'[1]Bud men fixes'!$H$9</f>
        <v>41974.58920113973</v>
      </c>
      <c r="Q178" s="1164">
        <f>'[1]Bud men fixes'!$H$8</f>
        <v>27073.610034735128</v>
      </c>
      <c r="R178" s="1184">
        <f>'[1]Bud men fixes'!$I$76</f>
        <v>149.96147628257265</v>
      </c>
      <c r="S178" s="1185">
        <f>'[1]Bud men fixes'!$I$9</f>
        <v>44988.442884771794</v>
      </c>
      <c r="T178" s="1164">
        <f>'[1]Bud men fixes'!$I$8</f>
        <v>29017.545660677806</v>
      </c>
      <c r="U178" s="1184">
        <f>'[1]Bud men fixes'!$J$76</f>
        <v>205.16198987760498</v>
      </c>
      <c r="V178" s="1185">
        <f>'[1]Bud men fixes'!$J$9</f>
        <v>61548.596963281496</v>
      </c>
      <c r="W178" s="1164">
        <f>'[1]Bud men fixes'!$J$8</f>
        <v>39698.845041316563</v>
      </c>
      <c r="X178" s="1184">
        <f>'[1]Bud men fixes'!$K$76</f>
        <v>239.60045160947578</v>
      </c>
      <c r="Y178" s="1185">
        <f>'[1]Bud men fixes'!$K$9</f>
        <v>71880.135482842728</v>
      </c>
      <c r="Z178" s="1164">
        <f>'[1]Bud men fixes'!$K$8</f>
        <v>46362.687386433558</v>
      </c>
      <c r="AA178" s="1184">
        <f>'[1]Bud men fixes'!$L$76</f>
        <v>245.72397242557832</v>
      </c>
      <c r="AB178" s="1185">
        <f>'[1]Bud men fixes'!$L$9</f>
        <v>73717.191727673504</v>
      </c>
      <c r="AC178" s="1164">
        <f>'[1]Bud men fixes'!$L$8</f>
        <v>47547.588664349409</v>
      </c>
      <c r="AD178" s="1184">
        <f>'[1]Bud men fixes'!$M$76</f>
        <v>249.37028999256785</v>
      </c>
      <c r="AE178" s="1185">
        <f>'[1]Bud men fixes'!$M$9</f>
        <v>74811.086997770355</v>
      </c>
      <c r="AF178" s="1164">
        <f>'[1]Bud men fixes'!$M$8</f>
        <v>48253.151113561878</v>
      </c>
      <c r="AG178" s="1184">
        <f>'[1]Bud men fixes'!$N$76</f>
        <v>221.75791575581431</v>
      </c>
      <c r="AH178" s="1185">
        <f>'[1]Bud men fixes'!$N$9</f>
        <v>66527.374726744296</v>
      </c>
      <c r="AI178" s="1164">
        <f>'[1]Bud men fixes'!$N$8</f>
        <v>42910.15669875007</v>
      </c>
      <c r="AJ178" s="1184">
        <f>'[1]Bud men fixes'!$O$76</f>
        <v>48.84821272845128</v>
      </c>
      <c r="AK178" s="1185">
        <f>'[1]Bud men fixes'!$O$9</f>
        <v>14654.463818535383</v>
      </c>
      <c r="AL178" s="1164">
        <f>'[1]Bud men fixes'!$O$8</f>
        <v>9452.1291629553234</v>
      </c>
      <c r="AM178" s="1184">
        <f>'[1]Bud men fixes'!$P$76</f>
        <v>76.320982874481771</v>
      </c>
      <c r="AN178" s="1185">
        <f>'[1]Bud men fixes'!$P$9</f>
        <v>22896.29486234453</v>
      </c>
      <c r="AO178" s="1164">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4" t="s">
        <v>168</v>
      </c>
      <c r="C184" s="1182">
        <f>+SUM(F184,I184,L184,O184,R184,U184,X184,AA184,AD184,AG184,AJ184,AM184)</f>
        <v>0</v>
      </c>
      <c r="D184" s="1183">
        <f>+SUM(G184,J184,M184,P184,S184,V184,Y184,AB184,AE184,AH184,AK184,AN184)</f>
        <v>130000</v>
      </c>
      <c r="E184" s="1163">
        <f>+SUM(H184,K184,N184,Q184,T184,W184,Z184,AC184,AF184,AI184,AL184,AO184)</f>
        <v>101400</v>
      </c>
      <c r="F184" s="1184">
        <f>'[1]Bud men fixes'!$E$82</f>
        <v>0</v>
      </c>
      <c r="G184" s="1185">
        <f>'[1]Bud men fixes'!$E$15</f>
        <v>3758.5296184751242</v>
      </c>
      <c r="H184" s="1164">
        <f>'[1]Bud men fixes'!$E$14</f>
        <v>2931.6531024105971</v>
      </c>
      <c r="I184" s="1184">
        <f>'[1]Bud men fixes'!$F$82</f>
        <v>0</v>
      </c>
      <c r="J184" s="1185">
        <f>'[1]Bud men fixes'!$F$15</f>
        <v>3634.3077156852428</v>
      </c>
      <c r="K184" s="1164">
        <f>'[1]Bud men fixes'!$F$14</f>
        <v>2834.7600182344895</v>
      </c>
      <c r="L184" s="1184">
        <f>'[1]Bud men fixes'!$G$82</f>
        <v>0</v>
      </c>
      <c r="M184" s="1185">
        <f>'[1]Bud men fixes'!$G$15</f>
        <v>7920.1031537553536</v>
      </c>
      <c r="N184" s="1164">
        <f>'[1]Bud men fixes'!$G$14</f>
        <v>6177.6804599291763</v>
      </c>
      <c r="O184" s="1184">
        <f>'[1]Bud men fixes'!$H$82</f>
        <v>0</v>
      </c>
      <c r="P184" s="1185">
        <f>'[1]Bud men fixes'!$H$15</f>
        <v>24165.030879901624</v>
      </c>
      <c r="Q184" s="1164">
        <f>'[1]Bud men fixes'!$H$14</f>
        <v>18848.724086323266</v>
      </c>
      <c r="R184" s="1184">
        <f>'[1]Bud men fixes'!$I$82</f>
        <v>0</v>
      </c>
      <c r="S184" s="1185">
        <f>'[1]Bud men fixes'!$I$15</f>
        <v>23052.760398972528</v>
      </c>
      <c r="T184" s="1164">
        <f>'[1]Bud men fixes'!$I$14</f>
        <v>17981.153111198571</v>
      </c>
      <c r="U184" s="1184">
        <f>'[1]Bud men fixes'!$J$82</f>
        <v>0</v>
      </c>
      <c r="V184" s="1185">
        <f>'[1]Bud men fixes'!$J$15</f>
        <v>9021.8073013155936</v>
      </c>
      <c r="W184" s="1164">
        <f>'[1]Bud men fixes'!$J$14</f>
        <v>7037.0096950261632</v>
      </c>
      <c r="X184" s="1184">
        <f>'[1]Bud men fixes'!$K$82</f>
        <v>0</v>
      </c>
      <c r="Y184" s="1185">
        <f>'[1]Bud men fixes'!$K$15</f>
        <v>7950.0089622500545</v>
      </c>
      <c r="Z184" s="1164">
        <f>'[1]Bud men fixes'!$K$14</f>
        <v>6201.0069905550426</v>
      </c>
      <c r="AA184" s="1184">
        <f>'[1]Bud men fixes'!$L$82</f>
        <v>0</v>
      </c>
      <c r="AB184" s="1185">
        <f>'[1]Bud men fixes'!$L$15</f>
        <v>5087.5545456925329</v>
      </c>
      <c r="AC184" s="1164">
        <f>'[1]Bud men fixes'!$L$14</f>
        <v>3968.2925456401758</v>
      </c>
      <c r="AD184" s="1184">
        <f>'[1]Bud men fixes'!$M$82</f>
        <v>0</v>
      </c>
      <c r="AE184" s="1185">
        <f>'[1]Bud men fixes'!$M$15</f>
        <v>7825.1025615868257</v>
      </c>
      <c r="AF184" s="1164">
        <f>'[1]Bud men fixes'!$M$14</f>
        <v>6103.5799980377242</v>
      </c>
      <c r="AG184" s="1184">
        <f>'[1]Bud men fixes'!$N$82</f>
        <v>0</v>
      </c>
      <c r="AH184" s="1185">
        <f>'[1]Bud men fixes'!$N$15</f>
        <v>11646.519217073856</v>
      </c>
      <c r="AI184" s="1164">
        <f>'[1]Bud men fixes'!$N$14</f>
        <v>9084.2849893176081</v>
      </c>
      <c r="AJ184" s="1184">
        <f>'[1]Bud men fixes'!$O$82</f>
        <v>0</v>
      </c>
      <c r="AK184" s="1185">
        <f>'[1]Bud men fixes'!$O$15</f>
        <v>18745.610555416999</v>
      </c>
      <c r="AL184" s="1164">
        <f>'[1]Bud men fixes'!$O$14</f>
        <v>14621.57623322526</v>
      </c>
      <c r="AM184" s="1184">
        <f>'[1]Bud men fixes'!$P$82</f>
        <v>0</v>
      </c>
      <c r="AN184" s="1185">
        <f>'[1]Bud men fixes'!$P$15</f>
        <v>7192.6650898742737</v>
      </c>
      <c r="AO184" s="1164">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6"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7"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8"/>
      <c r="C190" s="797"/>
      <c r="D190" s="764"/>
      <c r="E190" s="1189"/>
      <c r="F190" s="797"/>
      <c r="G190" s="764"/>
      <c r="H190" s="1189"/>
      <c r="I190" s="797"/>
      <c r="J190" s="764"/>
      <c r="K190" s="1189"/>
      <c r="L190" s="797"/>
      <c r="M190" s="764"/>
      <c r="N190" s="1189"/>
      <c r="O190" s="797"/>
      <c r="P190" s="764"/>
      <c r="Q190" s="1189"/>
      <c r="R190" s="797"/>
      <c r="S190" s="764"/>
      <c r="T190" s="1189"/>
      <c r="U190" s="797"/>
      <c r="V190" s="764"/>
      <c r="W190" s="1189"/>
      <c r="X190" s="797"/>
      <c r="Y190" s="764"/>
      <c r="Z190" s="1189"/>
      <c r="AA190" s="797"/>
      <c r="AB190" s="764"/>
      <c r="AC190" s="1189"/>
      <c r="AD190" s="797"/>
      <c r="AE190" s="764"/>
      <c r="AF190" s="1189"/>
      <c r="AG190" s="797"/>
      <c r="AH190" s="764"/>
      <c r="AI190" s="1189"/>
      <c r="AJ190" s="797"/>
      <c r="AK190" s="764"/>
      <c r="AL190" s="1189"/>
      <c r="AM190" s="797"/>
      <c r="AN190" s="764"/>
      <c r="AO190" s="1189"/>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90" t="s">
        <v>172</v>
      </c>
      <c r="C191" s="797">
        <f>+SUM(F191,I191,L191,O191,R191,U191,X191,AA191,AD191,AG191,AJ191,AM191)</f>
        <v>0</v>
      </c>
      <c r="D191" s="1191">
        <f>+SUM(G191,J191,M191,P191,S191,V191,Y191,AB191,AE191,AH191,AK191,AN191)</f>
        <v>240000.00000000006</v>
      </c>
      <c r="E191" s="752">
        <f>+SUM(H191,K191,N191,Q191,T191,W191,Z191,AC191,AF191,AI191,AL191,AO191)</f>
        <v>48000.000000000007</v>
      </c>
      <c r="F191" s="798">
        <f>'[1]Bud men fixes'!$E$86</f>
        <v>0</v>
      </c>
      <c r="G191" s="1191">
        <f>'[1]Bud men fixes'!$E$21</f>
        <v>10024.803331868648</v>
      </c>
      <c r="H191" s="765">
        <f>'[1]Bud men fixes'!$E$20</f>
        <v>2004.9606663737297</v>
      </c>
      <c r="I191" s="798">
        <f>'[1]Bud men fixes'!$F$86</f>
        <v>0</v>
      </c>
      <c r="J191" s="1192">
        <f>'[1]Bud men fixes'!$F$21</f>
        <v>21755.610381411672</v>
      </c>
      <c r="K191" s="765">
        <f>'[1]Bud men fixes'!$F$20</f>
        <v>4351.122076282335</v>
      </c>
      <c r="L191" s="798">
        <f>'[1]Bud men fixes'!$G$86</f>
        <v>0</v>
      </c>
      <c r="M191" s="1192">
        <f>'[1]Bud men fixes'!$G$21</f>
        <v>20247.880139630204</v>
      </c>
      <c r="N191" s="765">
        <f>'[1]Bud men fixes'!$G$20</f>
        <v>4049.5760279260412</v>
      </c>
      <c r="O191" s="798">
        <f>'[1]Bud men fixes'!$H$86</f>
        <v>0</v>
      </c>
      <c r="P191" s="1192">
        <f>'[1]Bud men fixes'!$H$21</f>
        <v>20880.830944074769</v>
      </c>
      <c r="Q191" s="765">
        <f>'[1]Bud men fixes'!$H$20</f>
        <v>4176.1661888149538</v>
      </c>
      <c r="R191" s="798">
        <f>'[1]Bud men fixes'!$I$86</f>
        <v>0</v>
      </c>
      <c r="S191" s="1192">
        <f>'[1]Bud men fixes'!$I$21</f>
        <v>29550.033253398495</v>
      </c>
      <c r="T191" s="765">
        <f>'[1]Bud men fixes'!$I$20</f>
        <v>5910.0066506796993</v>
      </c>
      <c r="U191" s="798">
        <f>'[1]Bud men fixes'!$J$86</f>
        <v>0</v>
      </c>
      <c r="V191" s="1192">
        <f>'[1]Bud men fixes'!$J$21</f>
        <v>20089.31740003399</v>
      </c>
      <c r="W191" s="765">
        <f>'[1]Bud men fixes'!$J$20</f>
        <v>4017.863480006798</v>
      </c>
      <c r="X191" s="798">
        <f>'[1]Bud men fixes'!$K$86</f>
        <v>0</v>
      </c>
      <c r="Y191" s="1192">
        <f>'[1]Bud men fixes'!$K$21</f>
        <v>25482.445610109997</v>
      </c>
      <c r="Z191" s="765">
        <f>'[1]Bud men fixes'!$K$20</f>
        <v>5096.4891220219997</v>
      </c>
      <c r="AA191" s="798">
        <f>'[1]Bud men fixes'!$L$86</f>
        <v>0</v>
      </c>
      <c r="AB191" s="1192">
        <f>'[1]Bud men fixes'!$L$21</f>
        <v>19762.362308724096</v>
      </c>
      <c r="AC191" s="765">
        <f>'[1]Bud men fixes'!$L$20</f>
        <v>3952.4724617448192</v>
      </c>
      <c r="AD191" s="798">
        <f>'[1]Bud men fixes'!$M$86</f>
        <v>0</v>
      </c>
      <c r="AE191" s="1192">
        <f>'[1]Bud men fixes'!$M$21</f>
        <v>23928.38057187057</v>
      </c>
      <c r="AF191" s="765">
        <f>'[1]Bud men fixes'!$M$20</f>
        <v>4785.6761143741141</v>
      </c>
      <c r="AG191" s="798">
        <f>'[1]Bud men fixes'!$N$86</f>
        <v>0</v>
      </c>
      <c r="AH191" s="1192">
        <f>'[1]Bud men fixes'!$N$21</f>
        <v>13970.860206411597</v>
      </c>
      <c r="AI191" s="765">
        <f>'[1]Bud men fixes'!$N$20</f>
        <v>2794.1720412823197</v>
      </c>
      <c r="AJ191" s="798">
        <f>'[1]Bud men fixes'!$O$86</f>
        <v>0</v>
      </c>
      <c r="AK191" s="1192">
        <f>'[1]Bud men fixes'!$O$21</f>
        <v>17662.860276089392</v>
      </c>
      <c r="AL191" s="765">
        <f>'[1]Bud men fixes'!$O$20</f>
        <v>3532.5720552178786</v>
      </c>
      <c r="AM191" s="798">
        <f>'[1]Bud men fixes'!$P$86</f>
        <v>0</v>
      </c>
      <c r="AN191" s="1192">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90"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90"/>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3" t="s">
        <v>173</v>
      </c>
      <c r="C194" s="1182">
        <f>+SUM(F194,I194,L194,O194,R194,U194,X194,AA194,AD194,AG194,AJ194,AM194)</f>
        <v>0</v>
      </c>
      <c r="D194" s="1194">
        <f>+SUM(G194,J194,M194,P194,S194,V194,Y194,AB194,AE194,AH194,AK194,AN194)</f>
        <v>119999.99999999999</v>
      </c>
      <c r="E194" s="1163">
        <f>+SUM(H194,K194,N194,Q194,T194,W194,Z194,AC194,AF194,AI194,AL194,AO194)</f>
        <v>84000</v>
      </c>
      <c r="F194" s="1182">
        <f>'[1]Bud men fixes'!$E$86</f>
        <v>0</v>
      </c>
      <c r="G194" s="1194">
        <f>'[1]Bud men fixes'!$E$25</f>
        <v>3469.4119555154989</v>
      </c>
      <c r="H194" s="1163">
        <f>'[1]Bud men fixes'!$E$24</f>
        <v>2428.5883688608492</v>
      </c>
      <c r="I194" s="1182">
        <f>'[1]Bud men fixes'!$E$86</f>
        <v>0</v>
      </c>
      <c r="J194" s="1194">
        <f>'[1]Bud men fixes'!$F$25</f>
        <v>3354.7455837094549</v>
      </c>
      <c r="K194" s="1163">
        <f>'[1]Bud men fixes'!$F$24</f>
        <v>2348.3219085966184</v>
      </c>
      <c r="L194" s="1182">
        <f>'[1]Bud men fixes'!$E$86</f>
        <v>0</v>
      </c>
      <c r="M194" s="1194">
        <f>'[1]Bud men fixes'!$G$25</f>
        <v>7310.8644496203269</v>
      </c>
      <c r="N194" s="1163">
        <f>'[1]Bud men fixes'!$G$24</f>
        <v>5117.6051147342287</v>
      </c>
      <c r="O194" s="1182">
        <f>'[1]Bud men fixes'!$E$86</f>
        <v>0</v>
      </c>
      <c r="P194" s="1194">
        <f>'[1]Bud men fixes'!$H$25</f>
        <v>22306.18235067842</v>
      </c>
      <c r="Q194" s="1163">
        <f>'[1]Bud men fixes'!$H$24</f>
        <v>15614.327645474894</v>
      </c>
      <c r="R194" s="1182">
        <f>'[1]Bud men fixes'!$E$86</f>
        <v>0</v>
      </c>
      <c r="S194" s="1194">
        <f>'[1]Bud men fixes'!$I$25</f>
        <v>21279.471137513105</v>
      </c>
      <c r="T194" s="1163">
        <f>'[1]Bud men fixes'!$I$24</f>
        <v>14895.629796259173</v>
      </c>
      <c r="U194" s="1182">
        <f>'[1]Bud men fixes'!$E$86</f>
        <v>0</v>
      </c>
      <c r="V194" s="1194">
        <f>'[1]Bud men fixes'!$J$25</f>
        <v>8327.8221242913169</v>
      </c>
      <c r="W194" s="1163">
        <f>'[1]Bud men fixes'!$J$24</f>
        <v>5829.4754870039214</v>
      </c>
      <c r="X194" s="1182">
        <f>'[1]Bud men fixes'!$E$86</f>
        <v>0</v>
      </c>
      <c r="Y194" s="1194">
        <f>'[1]Bud men fixes'!$K$25</f>
        <v>7338.4698113077429</v>
      </c>
      <c r="Z194" s="1163">
        <f>'[1]Bud men fixes'!$K$24</f>
        <v>5136.9288679154197</v>
      </c>
      <c r="AA194" s="1182">
        <f>'[1]Bud men fixes'!$E$86</f>
        <v>0</v>
      </c>
      <c r="AB194" s="1194">
        <f>'[1]Bud men fixes'!$L$25</f>
        <v>4696.2041960238766</v>
      </c>
      <c r="AC194" s="1163">
        <f>'[1]Bud men fixes'!$L$24</f>
        <v>3287.3429372167134</v>
      </c>
      <c r="AD194" s="1182">
        <f>'[1]Bud men fixes'!$E$86</f>
        <v>0</v>
      </c>
      <c r="AE194" s="1194">
        <f>'[1]Bud men fixes'!$M$25</f>
        <v>7223.171595310916</v>
      </c>
      <c r="AF194" s="1163">
        <f>'[1]Bud men fixes'!$M$24</f>
        <v>5056.2201167176408</v>
      </c>
      <c r="AG194" s="1182">
        <f>'[1]Bud men fixes'!$E$86</f>
        <v>0</v>
      </c>
      <c r="AH194" s="1194">
        <f>'[1]Bud men fixes'!$N$25</f>
        <v>10750.63312345279</v>
      </c>
      <c r="AI194" s="1163">
        <f>'[1]Bud men fixes'!$N$24</f>
        <v>7525.4431864169519</v>
      </c>
      <c r="AJ194" s="1182">
        <f>'[1]Bud men fixes'!$E$86</f>
        <v>0</v>
      </c>
      <c r="AK194" s="1194">
        <f>'[1]Bud men fixes'!$O$25</f>
        <v>17303.640512692615</v>
      </c>
      <c r="AL194" s="1163">
        <f>'[1]Bud men fixes'!$O$24</f>
        <v>12112.548358884829</v>
      </c>
      <c r="AM194" s="1182">
        <f>'[1]Bud men fixes'!$E$86</f>
        <v>0</v>
      </c>
      <c r="AN194" s="1194">
        <f>'[1]Bud men fixes'!$P$25</f>
        <v>6639.3831598839452</v>
      </c>
      <c r="AO194" s="1163">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8"/>
      <c r="C196" s="1195"/>
      <c r="D196" s="1196"/>
      <c r="E196" s="1197"/>
      <c r="F196" s="1195"/>
      <c r="G196" s="1196"/>
      <c r="H196" s="1197"/>
      <c r="I196" s="1195"/>
      <c r="J196" s="1196"/>
      <c r="K196" s="1197"/>
      <c r="L196" s="1195"/>
      <c r="M196" s="1196"/>
      <c r="N196" s="1197"/>
      <c r="O196" s="1195"/>
      <c r="P196" s="1196"/>
      <c r="Q196" s="1197"/>
      <c r="R196" s="1195"/>
      <c r="S196" s="1196"/>
      <c r="T196" s="1197"/>
      <c r="U196" s="1195"/>
      <c r="V196" s="1196"/>
      <c r="W196" s="1197"/>
      <c r="X196" s="1195"/>
      <c r="Y196" s="1196"/>
      <c r="Z196" s="1197"/>
      <c r="AA196" s="1195"/>
      <c r="AB196" s="1196"/>
      <c r="AC196" s="1197"/>
      <c r="AD196" s="1195"/>
      <c r="AE196" s="1196"/>
      <c r="AF196" s="1197"/>
      <c r="AG196" s="1195"/>
      <c r="AH196" s="1196"/>
      <c r="AI196" s="1197"/>
      <c r="AJ196" s="1195"/>
      <c r="AK196" s="1196"/>
      <c r="AL196" s="1197"/>
      <c r="AM196" s="1195"/>
      <c r="AN196" s="1196"/>
      <c r="AO196" s="1197"/>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4"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5"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60"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61"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60" t="s">
        <v>122</v>
      </c>
      <c r="C203" s="1144"/>
      <c r="D203" s="1162"/>
      <c r="E203" s="1163">
        <f t="shared" si="40"/>
        <v>319391.40014066669</v>
      </c>
      <c r="F203" s="1144"/>
      <c r="G203" s="1162"/>
      <c r="H203" s="1164">
        <f>[1]Salaire!$E$177</f>
        <v>20062.377097999997</v>
      </c>
      <c r="I203" s="1144"/>
      <c r="J203" s="1162"/>
      <c r="K203" s="1164">
        <f>[1]Salaire!$F$177</f>
        <v>19891.452097999998</v>
      </c>
      <c r="L203" s="1144"/>
      <c r="M203" s="1162"/>
      <c r="N203" s="1164">
        <f>[1]Salaire!$G$177</f>
        <v>35049.351564666664</v>
      </c>
      <c r="O203" s="1144"/>
      <c r="P203" s="1162"/>
      <c r="Q203" s="1164">
        <f>[1]Salaire!$H$177</f>
        <v>35049.351564666664</v>
      </c>
      <c r="R203" s="1144"/>
      <c r="S203" s="1162"/>
      <c r="T203" s="1164">
        <f>[1]Salaire!$I$177</f>
        <v>24864.315122499997</v>
      </c>
      <c r="U203" s="1144"/>
      <c r="V203" s="1162"/>
      <c r="W203" s="1164">
        <f>[1]Salaire!$J$177</f>
        <v>19891.452097999998</v>
      </c>
      <c r="X203" s="1144"/>
      <c r="Y203" s="1162"/>
      <c r="Z203" s="1164">
        <f>[1]Salaire!$K$177</f>
        <v>24864.315122499997</v>
      </c>
      <c r="AA203" s="1144"/>
      <c r="AB203" s="1162"/>
      <c r="AC203" s="1164">
        <f>[1]Salaire!$L$177</f>
        <v>19891.452097999998</v>
      </c>
      <c r="AD203" s="1144"/>
      <c r="AE203" s="1162"/>
      <c r="AF203" s="1164">
        <f>[1]Salaire!$M$177</f>
        <v>19891.452097999998</v>
      </c>
      <c r="AG203" s="1144"/>
      <c r="AH203" s="1162"/>
      <c r="AI203" s="1164">
        <f>[1]Salaire!$N$177</f>
        <v>40022.214589166659</v>
      </c>
      <c r="AJ203" s="1144"/>
      <c r="AK203" s="1162"/>
      <c r="AL203" s="1164">
        <f>[1]Salaire!$O$177</f>
        <v>35049.351564666664</v>
      </c>
      <c r="AM203" s="1144"/>
      <c r="AN203" s="1162"/>
      <c r="AO203" s="1164">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60"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61"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60" t="s">
        <v>125</v>
      </c>
      <c r="C209" s="1144"/>
      <c r="D209" s="1162"/>
      <c r="E209" s="1163">
        <f t="shared" si="40"/>
        <v>288639.66498595272</v>
      </c>
      <c r="F209" s="1144"/>
      <c r="G209" s="1162"/>
      <c r="H209" s="1164">
        <f>'[1]DAS-VAC'!$F$53</f>
        <v>19875.683020935841</v>
      </c>
      <c r="I209" s="1144"/>
      <c r="J209" s="1162"/>
      <c r="K209" s="1164">
        <f>'[1]DAS-VAC'!$G$53</f>
        <v>19042.329597373762</v>
      </c>
      <c r="L209" s="1144"/>
      <c r="M209" s="1162"/>
      <c r="N209" s="1164">
        <f>'[1]DAS-VAC'!$H$53</f>
        <v>23578.85018131524</v>
      </c>
      <c r="O209" s="1144"/>
      <c r="P209" s="1162"/>
      <c r="Q209" s="1164">
        <f>'[1]DAS-VAC'!$I$53</f>
        <v>26535.039643588603</v>
      </c>
      <c r="R209" s="1144"/>
      <c r="S209" s="1162"/>
      <c r="T209" s="1164">
        <f>'[1]DAS-VAC'!$J$53</f>
        <v>26944.211272764034</v>
      </c>
      <c r="U209" s="1144"/>
      <c r="V209" s="1162"/>
      <c r="W209" s="1164">
        <f>'[1]DAS-VAC'!$K$53</f>
        <v>21959.120293645155</v>
      </c>
      <c r="X209" s="1144"/>
      <c r="Y209" s="1162"/>
      <c r="Z209" s="1164">
        <f>'[1]DAS-VAC'!$L$53</f>
        <v>24863.306395426767</v>
      </c>
      <c r="AA209" s="1144"/>
      <c r="AB209" s="1162"/>
      <c r="AC209" s="1164">
        <f>'[1]DAS-VAC'!$M$53</f>
        <v>22912.530521534951</v>
      </c>
      <c r="AD209" s="1144"/>
      <c r="AE209" s="1162"/>
      <c r="AF209" s="1164">
        <f>'[1]DAS-VAC'!$N$53</f>
        <v>23344.87573071041</v>
      </c>
      <c r="AG209" s="1144"/>
      <c r="AH209" s="1162"/>
      <c r="AI209" s="1164">
        <f>'[1]DAS-VAC'!$O$53</f>
        <v>28674.481431703785</v>
      </c>
      <c r="AJ209" s="1144"/>
      <c r="AK209" s="1162"/>
      <c r="AL209" s="1164">
        <f>'[1]DAS-VAC'!$P$53</f>
        <v>28941.723236733622</v>
      </c>
      <c r="AM209" s="1144"/>
      <c r="AN209" s="1162"/>
      <c r="AO209" s="1164">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5"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60"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6" t="s">
        <v>128</v>
      </c>
      <c r="C213" s="1157" t="s">
        <v>175</v>
      </c>
      <c r="D213" s="1158">
        <f>IFERROR(E213/E$197,0)</f>
        <v>0.58117534314792252</v>
      </c>
      <c r="E213" s="1159">
        <f>+SUM(E201:E212)</f>
        <v>1771632.5117426489</v>
      </c>
      <c r="F213" s="1157" t="s">
        <v>175</v>
      </c>
      <c r="G213" s="1158">
        <f>IFERROR(H213/H$197,0)</f>
        <v>0.6253998638599193</v>
      </c>
      <c r="H213" s="1159">
        <f>+SUM(H201:H212)</f>
        <v>119609.88302747534</v>
      </c>
      <c r="I213" s="1157" t="s">
        <v>175</v>
      </c>
      <c r="J213" s="1158">
        <f>IFERROR(K213/K$197,0)</f>
        <v>0.6240600406931619</v>
      </c>
      <c r="K213" s="1159">
        <f>+SUM(K201:K212)</f>
        <v>115738.79936676219</v>
      </c>
      <c r="L213" s="1157" t="s">
        <v>175</v>
      </c>
      <c r="M213" s="1158">
        <f>IFERROR(N213/N$197,0)</f>
        <v>0.6374335004269035</v>
      </c>
      <c r="N213" s="1159">
        <f>+SUM(N201:N212)</f>
        <v>145403.49154772557</v>
      </c>
      <c r="O213" s="1157" t="s">
        <v>175</v>
      </c>
      <c r="P213" s="1158">
        <f>IFERROR(Q213/Q$197,0)</f>
        <v>0.55571311686298264</v>
      </c>
      <c r="Q213" s="1159">
        <f>+SUM(Q201:Q212)</f>
        <v>165954.7068363422</v>
      </c>
      <c r="R213" s="1157" t="s">
        <v>175</v>
      </c>
      <c r="S213" s="1158">
        <f>IFERROR(T213/T$197,0)</f>
        <v>0.53284350139000858</v>
      </c>
      <c r="T213" s="1159">
        <f>+SUM(T201:T212)</f>
        <v>164710.77398938348</v>
      </c>
      <c r="U213" s="1157" t="s">
        <v>175</v>
      </c>
      <c r="V213" s="1158">
        <f>IFERROR(W213/W$197,0)</f>
        <v>0.5524452598176367</v>
      </c>
      <c r="W213" s="1159">
        <f>+SUM(W201:W212)</f>
        <v>131247.96615179829</v>
      </c>
      <c r="X213" s="1157" t="s">
        <v>175</v>
      </c>
      <c r="Y213" s="1158">
        <f>IFERROR(Z213/Z$197,0)</f>
        <v>0.60588226839841053</v>
      </c>
      <c r="Z213" s="1159">
        <f>+SUM(Z201:Z212)</f>
        <v>152413.5520091443</v>
      </c>
      <c r="AA213" s="1157" t="s">
        <v>175</v>
      </c>
      <c r="AB213" s="1158">
        <f>IFERROR(AC213/AC$197,0)</f>
        <v>0.53369679117502511</v>
      </c>
      <c r="AC213" s="1159">
        <f>+SUM(AC201:AC212)</f>
        <v>133215.65471604469</v>
      </c>
      <c r="AD213" s="1157" t="s">
        <v>175</v>
      </c>
      <c r="AE213" s="1158">
        <f>IFERROR(AF213/AF$197,0)</f>
        <v>0.51029909128356465</v>
      </c>
      <c r="AF213" s="1159">
        <f>+SUM(AF201:AF212)</f>
        <v>133629.29329996704</v>
      </c>
      <c r="AG213" s="1157" t="s">
        <v>175</v>
      </c>
      <c r="AH213" s="1158">
        <f>IFERROR(AI213/AI$197,0)</f>
        <v>0.65021312799679609</v>
      </c>
      <c r="AI213" s="1159">
        <f>+SUM(AI201:AI212)</f>
        <v>183355.02480227366</v>
      </c>
      <c r="AJ213" s="1157" t="s">
        <v>175</v>
      </c>
      <c r="AK213" s="1158">
        <f>IFERROR(AL213/AL$197,0)</f>
        <v>0.52060563125387771</v>
      </c>
      <c r="AL213" s="1159">
        <f>+SUM(AL201:AL212)</f>
        <v>179679.61092266763</v>
      </c>
      <c r="AM213" s="1157" t="s">
        <v>175</v>
      </c>
      <c r="AN213" s="1158">
        <f>IFERROR(AO213/AO$197,0)</f>
        <v>0.70497831351866147</v>
      </c>
      <c r="AO213" s="1159">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6" t="s">
        <v>143</v>
      </c>
      <c r="C232" s="1157" t="s">
        <v>175</v>
      </c>
      <c r="D232" s="1158">
        <f>IFERROR(E232/E$197,0)</f>
        <v>0.23677813252019037</v>
      </c>
      <c r="E232" s="1159">
        <f>+SUM(E214:E231)</f>
        <v>721785.33137753967</v>
      </c>
      <c r="F232" s="1157" t="s">
        <v>175</v>
      </c>
      <c r="G232" s="1158">
        <f>IFERROR(H232/H$197,0)</f>
        <v>0.3463933961818309</v>
      </c>
      <c r="H232" s="1159">
        <f>+SUM(H214:H231)</f>
        <v>66248.932871656201</v>
      </c>
      <c r="I232" s="1157" t="s">
        <v>175</v>
      </c>
      <c r="J232" s="1158">
        <f>IFERROR(K232/K$197,0)</f>
        <v>0.27638885347460485</v>
      </c>
      <c r="K232" s="1159">
        <f>+SUM(K214:K231)</f>
        <v>51259.353225012921</v>
      </c>
      <c r="L232" s="1157" t="s">
        <v>175</v>
      </c>
      <c r="M232" s="1158">
        <f>IFERROR(N232/N$197,0)</f>
        <v>0.24412219819646536</v>
      </c>
      <c r="N232" s="1159">
        <f>+SUM(N214:N231)</f>
        <v>55686.153862794039</v>
      </c>
      <c r="O232" s="1157" t="s">
        <v>175</v>
      </c>
      <c r="P232" s="1158">
        <f>IFERROR(Q232/Q$197,0)</f>
        <v>0.2759737261277882</v>
      </c>
      <c r="Q232" s="1159">
        <f>+SUM(Q214:Q231)</f>
        <v>82415.076096471515</v>
      </c>
      <c r="R232" s="1157" t="s">
        <v>175</v>
      </c>
      <c r="S232" s="1158">
        <f>IFERROR(T232/T$197,0)</f>
        <v>0.21079442560503425</v>
      </c>
      <c r="T232" s="1159">
        <f>+SUM(T214:T231)</f>
        <v>65160.057133998387</v>
      </c>
      <c r="U232" s="1157" t="s">
        <v>175</v>
      </c>
      <c r="V232" s="1158">
        <f>IFERROR(W232/W$197,0)</f>
        <v>0.22606474153718892</v>
      </c>
      <c r="W232" s="1159">
        <f>+SUM(W214:W231)</f>
        <v>53707.651605486317</v>
      </c>
      <c r="X232" s="1157" t="s">
        <v>175</v>
      </c>
      <c r="Y232" s="1158">
        <f>IFERROR(Z232/Z$197,0)</f>
        <v>0.22760082369421317</v>
      </c>
      <c r="Z232" s="1159">
        <f>+SUM(Z214:Z231)</f>
        <v>57254.439993994456</v>
      </c>
      <c r="AA232" s="1157" t="s">
        <v>175</v>
      </c>
      <c r="AB232" s="1158">
        <f>IFERROR(AC232/AC$197,0)</f>
        <v>0.2022521872559972</v>
      </c>
      <c r="AC232" s="1159">
        <f>+SUM(AC214:AC231)</f>
        <v>50484.016371430211</v>
      </c>
      <c r="AD232" s="1157" t="s">
        <v>175</v>
      </c>
      <c r="AE232" s="1158">
        <f>IFERROR(AF232/AF$197,0)</f>
        <v>0.1957454012966518</v>
      </c>
      <c r="AF232" s="1159">
        <f>+SUM(AF214:AF231)</f>
        <v>51258.801139927666</v>
      </c>
      <c r="AG232" s="1157" t="s">
        <v>175</v>
      </c>
      <c r="AH232" s="1158">
        <f>IFERROR(AI232/AI$197,0)</f>
        <v>0.21559546112716291</v>
      </c>
      <c r="AI232" s="1159">
        <f>+SUM(AI214:AI231)</f>
        <v>60796.236526346118</v>
      </c>
      <c r="AJ232" s="1157" t="s">
        <v>175</v>
      </c>
      <c r="AK232" s="1158">
        <f>IFERROR(AL232/AL$197,0)</f>
        <v>0.19654202415064612</v>
      </c>
      <c r="AL232" s="1159">
        <f>+SUM(AL214:AL231)</f>
        <v>67833.677373574508</v>
      </c>
      <c r="AM232" s="1157" t="s">
        <v>175</v>
      </c>
      <c r="AN232" s="1158">
        <f>IFERROR(AO232/AO$197,0)</f>
        <v>0.28685271614701313</v>
      </c>
      <c r="AO232" s="1159">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6" t="s">
        <v>144</v>
      </c>
      <c r="C234" s="1157" t="s">
        <v>119</v>
      </c>
      <c r="D234" s="1179">
        <f>IFERROR(E234/E$197,0)</f>
        <v>0.81795347566811283</v>
      </c>
      <c r="E234" s="1167">
        <f>E213+E232</f>
        <v>2493417.8431201885</v>
      </c>
      <c r="F234" s="1157" t="s">
        <v>119</v>
      </c>
      <c r="G234" s="1179">
        <f>IFERROR(H234/H$197,0)</f>
        <v>0.97179326004175015</v>
      </c>
      <c r="H234" s="1167">
        <f>H213+H232</f>
        <v>185858.81589913153</v>
      </c>
      <c r="I234" s="1157" t="s">
        <v>119</v>
      </c>
      <c r="J234" s="1179">
        <f>IFERROR(K234/K$197,0)</f>
        <v>0.90044889416776674</v>
      </c>
      <c r="K234" s="1167">
        <f>K213+K232</f>
        <v>166998.15259177511</v>
      </c>
      <c r="L234" s="1157" t="s">
        <v>119</v>
      </c>
      <c r="M234" s="1179">
        <f>IFERROR(N234/N$197,0)</f>
        <v>0.88155569862336891</v>
      </c>
      <c r="N234" s="1167">
        <f>N213+N232</f>
        <v>201089.64541051962</v>
      </c>
      <c r="O234" s="1157" t="s">
        <v>119</v>
      </c>
      <c r="P234" s="1179">
        <f>IFERROR(Q234/Q$197,0)</f>
        <v>0.83168684299077078</v>
      </c>
      <c r="Q234" s="1167">
        <f>Q213+Q232</f>
        <v>248369.78293281372</v>
      </c>
      <c r="R234" s="1157" t="s">
        <v>119</v>
      </c>
      <c r="S234" s="1179">
        <f>IFERROR(T234/T$197,0)</f>
        <v>0.74363792699504272</v>
      </c>
      <c r="T234" s="1167">
        <f>T213+T232</f>
        <v>229870.83112338185</v>
      </c>
      <c r="U234" s="1157" t="s">
        <v>119</v>
      </c>
      <c r="V234" s="1179">
        <f>IFERROR(W234/W$197,0)</f>
        <v>0.77851000135482562</v>
      </c>
      <c r="W234" s="1167">
        <f>W213+W232</f>
        <v>184955.61775728461</v>
      </c>
      <c r="X234" s="1157" t="s">
        <v>119</v>
      </c>
      <c r="Y234" s="1179">
        <f>IFERROR(Z234/Z$197,0)</f>
        <v>0.83348309209262372</v>
      </c>
      <c r="Z234" s="1167">
        <f>Z213+Z232</f>
        <v>209667.99200313876</v>
      </c>
      <c r="AA234" s="1157" t="s">
        <v>119</v>
      </c>
      <c r="AB234" s="1179">
        <f>IFERROR(AC234/AC$197,0)</f>
        <v>0.73594897843102236</v>
      </c>
      <c r="AC234" s="1167">
        <f>AC213+AC232</f>
        <v>183699.67108747491</v>
      </c>
      <c r="AD234" s="1157" t="s">
        <v>119</v>
      </c>
      <c r="AE234" s="1179">
        <f>IFERROR(AF234/AF$197,0)</f>
        <v>0.70604449258021651</v>
      </c>
      <c r="AF234" s="1167">
        <f>AF213+AF232</f>
        <v>184888.09443989472</v>
      </c>
      <c r="AG234" s="1157" t="s">
        <v>119</v>
      </c>
      <c r="AH234" s="1179">
        <f>IFERROR(AI234/AI$197,0)</f>
        <v>0.86580858912395908</v>
      </c>
      <c r="AI234" s="1167">
        <f>AI213+AI232</f>
        <v>244151.26132861979</v>
      </c>
      <c r="AJ234" s="1157" t="s">
        <v>119</v>
      </c>
      <c r="AK234" s="1179">
        <f>IFERROR(AL234/AL$197,0)</f>
        <v>0.71714765540452385</v>
      </c>
      <c r="AL234" s="1167">
        <f>AL213+AL232</f>
        <v>247513.28829624213</v>
      </c>
      <c r="AM234" s="1157" t="s">
        <v>119</v>
      </c>
      <c r="AN234" s="1179">
        <f>IFERROR(AO234/AO$197,0)</f>
        <v>0.9918310296656746</v>
      </c>
      <c r="AO234" s="1167">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70" t="s">
        <v>151</v>
      </c>
      <c r="C236" s="1170"/>
      <c r="D236" s="1198">
        <f>E236/D197</f>
        <v>0.12912491479910071</v>
      </c>
      <c r="E236" s="1173">
        <f>E197-E234</f>
        <v>554943.60687981173</v>
      </c>
      <c r="F236" s="1170"/>
      <c r="G236" s="1181"/>
      <c r="H236" s="1173">
        <f>H197-H234</f>
        <v>5394.6363949774823</v>
      </c>
      <c r="I236" s="1170"/>
      <c r="J236" s="1181"/>
      <c r="K236" s="1173">
        <f>K197-K234</f>
        <v>18462.847664238216</v>
      </c>
      <c r="L236" s="1170"/>
      <c r="M236" s="1181"/>
      <c r="N236" s="1173">
        <f>N197-N234</f>
        <v>27018.057511190011</v>
      </c>
      <c r="O236" s="1170"/>
      <c r="P236" s="1181"/>
      <c r="Q236" s="1173">
        <f>Q197-Q234</f>
        <v>50263.993741671758</v>
      </c>
      <c r="R236" s="1170"/>
      <c r="S236" s="1181"/>
      <c r="T236" s="1173">
        <f>T197-T234</f>
        <v>79245.77358270681</v>
      </c>
      <c r="U236" s="1170"/>
      <c r="V236" s="1181"/>
      <c r="W236" s="1173">
        <f>W197-W234</f>
        <v>52620.800574413122</v>
      </c>
      <c r="X236" s="1170"/>
      <c r="Y236" s="1181"/>
      <c r="Z236" s="1173">
        <f>Z197-Z234</f>
        <v>41888.391074442217</v>
      </c>
      <c r="AA236" s="1170"/>
      <c r="AB236" s="1181"/>
      <c r="AC236" s="1173">
        <f>AC197-AC234</f>
        <v>65909.576932824333</v>
      </c>
      <c r="AD236" s="1170"/>
      <c r="AE236" s="1181"/>
      <c r="AF236" s="1173">
        <f>AF197-AF234</f>
        <v>76976.556276701391</v>
      </c>
      <c r="AG236" s="1170"/>
      <c r="AH236" s="1181"/>
      <c r="AI236" s="1173">
        <f>AI197-AI234</f>
        <v>37840.930012028024</v>
      </c>
      <c r="AJ236" s="1170"/>
      <c r="AK236" s="1181"/>
      <c r="AL236" s="1173">
        <f>AL197-AL234</f>
        <v>97622.453877559572</v>
      </c>
      <c r="AM236" s="1170"/>
      <c r="AN236" s="1181"/>
      <c r="AO236" s="1173">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5"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6"/>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285">
        <v>2021</v>
      </c>
      <c r="D241" s="1286"/>
      <c r="E241" s="1287"/>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4" t="s">
        <v>178</v>
      </c>
      <c r="C247" s="1182">
        <f>+SUM(F247,I247,L247,O247,R247,U247,X247,AA247,AD247,AG247,AJ247,AM247)</f>
        <v>0</v>
      </c>
      <c r="D247" s="1183">
        <f>+SUM(G247,J247,M247,P247,S247,V247,Y247,AB247,AE247,AH247,AK247,AN247)</f>
        <v>0</v>
      </c>
      <c r="E247" s="1163">
        <f>+SUM(H247,K247,N247,Q247,T247,W247,Z247,AC247,AF247,AI247,AL247,AO247)</f>
        <v>0</v>
      </c>
      <c r="F247" s="1184"/>
      <c r="G247" s="1185"/>
      <c r="H247" s="1164"/>
      <c r="I247" s="1184"/>
      <c r="J247" s="1185"/>
      <c r="K247" s="1164"/>
      <c r="L247" s="1184"/>
      <c r="M247" s="1185"/>
      <c r="N247" s="1164"/>
      <c r="O247" s="1184"/>
      <c r="P247" s="1185"/>
      <c r="Q247" s="1164"/>
      <c r="R247" s="1184"/>
      <c r="S247" s="1185"/>
      <c r="T247" s="1164"/>
      <c r="U247" s="1184"/>
      <c r="V247" s="1185"/>
      <c r="W247" s="1164"/>
      <c r="X247" s="1184"/>
      <c r="Y247" s="1185"/>
      <c r="Z247" s="1164"/>
      <c r="AA247" s="1184"/>
      <c r="AB247" s="1185"/>
      <c r="AC247" s="1164"/>
      <c r="AD247" s="1184"/>
      <c r="AE247" s="1185"/>
      <c r="AF247" s="1164"/>
      <c r="AG247" s="1184"/>
      <c r="AH247" s="1185"/>
      <c r="AI247" s="1164"/>
      <c r="AJ247" s="1184"/>
      <c r="AK247" s="1185"/>
      <c r="AL247" s="1164"/>
      <c r="AM247" s="1184"/>
      <c r="AN247" s="1185"/>
      <c r="AO247" s="1164"/>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4" t="s">
        <v>179</v>
      </c>
      <c r="C250" s="1182">
        <f>+SUM(F250,I250,L250,O250,R250,U250,X250,AA250,AD250,AG250,AJ250,AM250)</f>
        <v>0</v>
      </c>
      <c r="D250" s="1183">
        <f>+SUM(G250,J250,M250,P250,S250,V250,Y250,AB250,AE250,AH250,AK250,AN250)</f>
        <v>0</v>
      </c>
      <c r="E250" s="1163">
        <f>+SUM(H250,K250,N250,Q250,T250,W250,Z250,AC250,AF250,AI250,AL250,AO250)</f>
        <v>0</v>
      </c>
      <c r="F250" s="1184"/>
      <c r="G250" s="1185"/>
      <c r="H250" s="1164"/>
      <c r="I250" s="1184"/>
      <c r="J250" s="1185"/>
      <c r="K250" s="1164"/>
      <c r="L250" s="1184"/>
      <c r="M250" s="1185"/>
      <c r="N250" s="1164"/>
      <c r="O250" s="1184"/>
      <c r="P250" s="1185"/>
      <c r="Q250" s="1164"/>
      <c r="R250" s="1184"/>
      <c r="S250" s="1185"/>
      <c r="T250" s="1164"/>
      <c r="U250" s="1184"/>
      <c r="V250" s="1185"/>
      <c r="W250" s="1164"/>
      <c r="X250" s="1184"/>
      <c r="Y250" s="1185"/>
      <c r="Z250" s="1164"/>
      <c r="AA250" s="1184"/>
      <c r="AB250" s="1185"/>
      <c r="AC250" s="1164"/>
      <c r="AD250" s="1184"/>
      <c r="AE250" s="1185"/>
      <c r="AF250" s="1164"/>
      <c r="AG250" s="1184"/>
      <c r="AH250" s="1185"/>
      <c r="AI250" s="1164"/>
      <c r="AJ250" s="1184"/>
      <c r="AK250" s="1185"/>
      <c r="AL250" s="1164"/>
      <c r="AM250" s="1184"/>
      <c r="AN250" s="1185"/>
      <c r="AO250" s="1164"/>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4"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5"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60"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61"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60" t="s">
        <v>122</v>
      </c>
      <c r="C259" s="1144"/>
      <c r="D259" s="1162"/>
      <c r="E259" s="1163">
        <f t="shared" si="44"/>
        <v>18.991666666666667</v>
      </c>
      <c r="F259" s="1144"/>
      <c r="G259" s="1162"/>
      <c r="H259" s="1164">
        <f>[1]Salaire!$E$181</f>
        <v>18.991666666666667</v>
      </c>
      <c r="I259" s="1144"/>
      <c r="J259" s="1162"/>
      <c r="K259" s="1164">
        <f>[1]Salaire!$F$181</f>
        <v>0</v>
      </c>
      <c r="L259" s="1144"/>
      <c r="M259" s="1162"/>
      <c r="N259" s="1164">
        <f>[1]Salaire!$G$181</f>
        <v>0</v>
      </c>
      <c r="O259" s="1144"/>
      <c r="P259" s="1162"/>
      <c r="Q259" s="1164">
        <f>[1]Salaire!$H$181</f>
        <v>0</v>
      </c>
      <c r="R259" s="1144"/>
      <c r="S259" s="1162"/>
      <c r="T259" s="1164">
        <f>[1]Salaire!$I$181</f>
        <v>0</v>
      </c>
      <c r="U259" s="1144"/>
      <c r="V259" s="1162"/>
      <c r="W259" s="1164">
        <f>[1]Salaire!$J$181</f>
        <v>0</v>
      </c>
      <c r="X259" s="1144"/>
      <c r="Y259" s="1162"/>
      <c r="Z259" s="1164">
        <f>[1]Salaire!$K$181</f>
        <v>0</v>
      </c>
      <c r="AA259" s="1144"/>
      <c r="AB259" s="1162"/>
      <c r="AC259" s="1164">
        <f>[1]Salaire!$L$181</f>
        <v>0</v>
      </c>
      <c r="AD259" s="1144"/>
      <c r="AE259" s="1162"/>
      <c r="AF259" s="1164">
        <f>[1]Salaire!$M$181</f>
        <v>0</v>
      </c>
      <c r="AG259" s="1144"/>
      <c r="AH259" s="1162"/>
      <c r="AI259" s="1164">
        <f>[1]Salaire!$N$181</f>
        <v>0</v>
      </c>
      <c r="AJ259" s="1144"/>
      <c r="AK259" s="1162"/>
      <c r="AL259" s="1164">
        <f>[1]Salaire!$O$181</f>
        <v>0</v>
      </c>
      <c r="AM259" s="1144"/>
      <c r="AN259" s="1162"/>
      <c r="AO259" s="1164">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60"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61"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60" t="s">
        <v>125</v>
      </c>
      <c r="C265" s="1144"/>
      <c r="D265" s="1162"/>
      <c r="E265" s="1163">
        <f t="shared" si="44"/>
        <v>10880.496620355521</v>
      </c>
      <c r="F265" s="1144"/>
      <c r="G265" s="1162"/>
      <c r="H265" s="1164">
        <f>'[1]DAS-VAC'!$F$54</f>
        <v>867.07871695042445</v>
      </c>
      <c r="I265" s="1144"/>
      <c r="J265" s="1162"/>
      <c r="K265" s="1164">
        <f>'[1]DAS-VAC'!$G$54</f>
        <v>846.09524195042445</v>
      </c>
      <c r="L265" s="1144"/>
      <c r="M265" s="1162"/>
      <c r="N265" s="1164">
        <f>'[1]DAS-VAC'!$H$54</f>
        <v>846.09524195042445</v>
      </c>
      <c r="O265" s="1144"/>
      <c r="P265" s="1162"/>
      <c r="Q265" s="1164">
        <f>'[1]DAS-VAC'!$I$54</f>
        <v>846.09524195042445</v>
      </c>
      <c r="R265" s="1144"/>
      <c r="S265" s="1162"/>
      <c r="T265" s="1164">
        <f>'[1]DAS-VAC'!$J$54</f>
        <v>1022.6878024380308</v>
      </c>
      <c r="U265" s="1144"/>
      <c r="V265" s="1162"/>
      <c r="W265" s="1164">
        <f>'[1]DAS-VAC'!$K$54</f>
        <v>846.09524195042445</v>
      </c>
      <c r="X265" s="1144"/>
      <c r="Y265" s="1162"/>
      <c r="Z265" s="1164">
        <f>'[1]DAS-VAC'!$L$54</f>
        <v>1022.6878024380308</v>
      </c>
      <c r="AA265" s="1144"/>
      <c r="AB265" s="1162"/>
      <c r="AC265" s="1164">
        <f>'[1]DAS-VAC'!$M$54</f>
        <v>846.09524195042445</v>
      </c>
      <c r="AD265" s="1144"/>
      <c r="AE265" s="1162"/>
      <c r="AF265" s="1164">
        <f>'[1]DAS-VAC'!$N$54</f>
        <v>846.09524195042445</v>
      </c>
      <c r="AG265" s="1144"/>
      <c r="AH265" s="1162"/>
      <c r="AI265" s="1164">
        <f>'[1]DAS-VAC'!$O$54</f>
        <v>1022.6878024380308</v>
      </c>
      <c r="AJ265" s="1144"/>
      <c r="AK265" s="1162"/>
      <c r="AL265" s="1164">
        <f>'[1]DAS-VAC'!$P$54</f>
        <v>846.09524195042445</v>
      </c>
      <c r="AM265" s="1144"/>
      <c r="AN265" s="1162"/>
      <c r="AO265" s="1164">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5"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60"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6" t="s">
        <v>128</v>
      </c>
      <c r="C269" s="1157" t="s">
        <v>119</v>
      </c>
      <c r="D269" s="1158">
        <f>IFERROR(E269/E$253,0)</f>
        <v>0.59306234168735039</v>
      </c>
      <c r="E269" s="1159">
        <f>+SUM(E257:E268)</f>
        <v>102481.17264357414</v>
      </c>
      <c r="F269" s="1157" t="s">
        <v>119</v>
      </c>
      <c r="G269" s="1158">
        <f>IFERROR(H269/H$247,0)</f>
        <v>0</v>
      </c>
      <c r="H269" s="1159">
        <f>+SUM(H257:H268)</f>
        <v>8178.5799141210864</v>
      </c>
      <c r="I269" s="1157" t="s">
        <v>119</v>
      </c>
      <c r="J269" s="1158">
        <f>IFERROR(K269/K$247,0)</f>
        <v>0</v>
      </c>
      <c r="K269" s="1159">
        <f>+SUM(K257:K268)</f>
        <v>7972.7593941210862</v>
      </c>
      <c r="L269" s="1157" t="s">
        <v>119</v>
      </c>
      <c r="M269" s="1158">
        <f>IFERROR(N269/N$247,0)</f>
        <v>0</v>
      </c>
      <c r="N269" s="1159">
        <f>+SUM(N257:N268)</f>
        <v>7972.7593941210862</v>
      </c>
      <c r="O269" s="1157" t="s">
        <v>119</v>
      </c>
      <c r="P269" s="1158">
        <f>IFERROR(Q269/Q$247,0)</f>
        <v>0</v>
      </c>
      <c r="Q269" s="1159">
        <f>+SUM(Q257:Q268)</f>
        <v>7972.7593941210862</v>
      </c>
      <c r="R269" s="1157" t="s">
        <v>119</v>
      </c>
      <c r="S269" s="1158">
        <f>IFERROR(T269/T$247,0)</f>
        <v>0</v>
      </c>
      <c r="T269" s="1159">
        <f>+SUM(T257:T268)</f>
        <v>9623.3192426513579</v>
      </c>
      <c r="U269" s="1157" t="s">
        <v>119</v>
      </c>
      <c r="V269" s="1158">
        <f>IFERROR(W269/W$247,0)</f>
        <v>0</v>
      </c>
      <c r="W269" s="1159">
        <f>+SUM(W257:W268)</f>
        <v>7972.7593941210862</v>
      </c>
      <c r="X269" s="1157" t="s">
        <v>119</v>
      </c>
      <c r="Y269" s="1158">
        <f>IFERROR(Z269/Z$247,0)</f>
        <v>0</v>
      </c>
      <c r="Z269" s="1159">
        <f>+SUM(Z257:Z268)</f>
        <v>9623.3192426513579</v>
      </c>
      <c r="AA269" s="1157" t="s">
        <v>119</v>
      </c>
      <c r="AB269" s="1158">
        <f>IFERROR(AC269/AC$247,0)</f>
        <v>0</v>
      </c>
      <c r="AC269" s="1159">
        <f>+SUM(AC257:AC268)</f>
        <v>7972.7593941210862</v>
      </c>
      <c r="AD269" s="1157" t="s">
        <v>119</v>
      </c>
      <c r="AE269" s="1158">
        <f>IFERROR(AF269/AF$247,0)</f>
        <v>0</v>
      </c>
      <c r="AF269" s="1159">
        <f>+SUM(AF257:AF268)</f>
        <v>7972.7593941210862</v>
      </c>
      <c r="AG269" s="1157" t="s">
        <v>119</v>
      </c>
      <c r="AH269" s="1158">
        <f>IFERROR(AI269/AI$247,0)</f>
        <v>0</v>
      </c>
      <c r="AI269" s="1159">
        <f>+SUM(AI257:AI268)</f>
        <v>9623.3192426513579</v>
      </c>
      <c r="AJ269" s="1157" t="s">
        <v>119</v>
      </c>
      <c r="AK269" s="1158">
        <f>IFERROR(AL269/AL$247,0)</f>
        <v>0</v>
      </c>
      <c r="AL269" s="1159">
        <f>+SUM(AL257:AL268)</f>
        <v>7972.7593941210862</v>
      </c>
      <c r="AM269" s="1157" t="s">
        <v>119</v>
      </c>
      <c r="AN269" s="1158">
        <f>IFERROR(AO269/AO$247,0)</f>
        <v>0</v>
      </c>
      <c r="AO269" s="1159">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9"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60"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61"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60"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60"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61"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60"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60"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60"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60"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60"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60"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60"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60"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60"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60"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60"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60"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200" t="s">
        <v>143</v>
      </c>
      <c r="C288" s="776" t="s">
        <v>119</v>
      </c>
      <c r="D288" s="1169">
        <f>IFERROR(E288/E$247,0)</f>
        <v>0</v>
      </c>
      <c r="E288" s="777">
        <f>+SUM(E270:E287)</f>
        <v>51625.999438524763</v>
      </c>
      <c r="F288" s="776" t="s">
        <v>119</v>
      </c>
      <c r="G288" s="1169">
        <f>IFERROR(H288/H$247,0)</f>
        <v>0</v>
      </c>
      <c r="H288" s="777">
        <f>+SUM(H270:H287)</f>
        <v>5160.2927346094393</v>
      </c>
      <c r="I288" s="776" t="s">
        <v>119</v>
      </c>
      <c r="J288" s="1169">
        <f>IFERROR(K288/K$247,0)</f>
        <v>0</v>
      </c>
      <c r="K288" s="777">
        <f>+SUM(K270:K287)</f>
        <v>4080.7196261947515</v>
      </c>
      <c r="L288" s="776" t="s">
        <v>119</v>
      </c>
      <c r="M288" s="1169">
        <f>IFERROR(N288/N$247,0)</f>
        <v>0</v>
      </c>
      <c r="N288" s="777">
        <f>+SUM(N270:N287)</f>
        <v>4035.2100569790837</v>
      </c>
      <c r="O288" s="776" t="s">
        <v>119</v>
      </c>
      <c r="P288" s="1169">
        <f>IFERROR(Q288/Q$247,0)</f>
        <v>0</v>
      </c>
      <c r="Q288" s="777">
        <f>+SUM(Q270:Q287)</f>
        <v>4048.9959690857568</v>
      </c>
      <c r="R288" s="776" t="s">
        <v>119</v>
      </c>
      <c r="S288" s="1169">
        <f>IFERROR(T288/T$247,0)</f>
        <v>0</v>
      </c>
      <c r="T288" s="777">
        <f>+SUM(T270:T287)</f>
        <v>4064.2604223691078</v>
      </c>
      <c r="U288" s="776" t="s">
        <v>119</v>
      </c>
      <c r="V288" s="1169">
        <f>IFERROR(W288/W$247,0)</f>
        <v>0</v>
      </c>
      <c r="W288" s="777">
        <f>+SUM(W270:W287)</f>
        <v>4320.0078603084821</v>
      </c>
      <c r="X288" s="776" t="s">
        <v>119</v>
      </c>
      <c r="Y288" s="1169">
        <f>IFERROR(Z288/Z$247,0)</f>
        <v>0</v>
      </c>
      <c r="Z288" s="777">
        <f>+SUM(Z270:Z287)</f>
        <v>4028.2077542547149</v>
      </c>
      <c r="AA288" s="776" t="s">
        <v>119</v>
      </c>
      <c r="AB288" s="1169">
        <f>IFERROR(AC288/AC$247,0)</f>
        <v>0</v>
      </c>
      <c r="AC288" s="777">
        <f>+SUM(AC270:AC287)</f>
        <v>4021.6187649163153</v>
      </c>
      <c r="AD288" s="776" t="s">
        <v>119</v>
      </c>
      <c r="AE288" s="1169">
        <f>IFERROR(AF288/AF$247,0)</f>
        <v>0</v>
      </c>
      <c r="AF288" s="777">
        <f>+SUM(AF270:AF287)</f>
        <v>4030.5916374342773</v>
      </c>
      <c r="AG288" s="776" t="s">
        <v>119</v>
      </c>
      <c r="AH288" s="1169">
        <f>IFERROR(AI288/AI$247,0)</f>
        <v>0</v>
      </c>
      <c r="AI288" s="777">
        <f>+SUM(AI270:AI287)</f>
        <v>4241.1298244398222</v>
      </c>
      <c r="AJ288" s="776" t="s">
        <v>119</v>
      </c>
      <c r="AK288" s="1169">
        <f>IFERROR(AL288/AL$247,0)</f>
        <v>0</v>
      </c>
      <c r="AL288" s="777">
        <f>+SUM(AL270:AL287)</f>
        <v>4458.4840181227319</v>
      </c>
      <c r="AM288" s="776" t="s">
        <v>119</v>
      </c>
      <c r="AN288" s="1169">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6" t="s">
        <v>144</v>
      </c>
      <c r="C290" s="1157" t="s">
        <v>119</v>
      </c>
      <c r="D290" s="1179">
        <f>IFERROR(E290/E$247,0)</f>
        <v>0</v>
      </c>
      <c r="E290" s="1167">
        <f>E269+E288</f>
        <v>154107.1720820989</v>
      </c>
      <c r="F290" s="1157" t="s">
        <v>119</v>
      </c>
      <c r="G290" s="1179">
        <f>IFERROR(H290/H$247,0)</f>
        <v>0</v>
      </c>
      <c r="H290" s="1167">
        <f>H269+H288</f>
        <v>13338.872648730525</v>
      </c>
      <c r="I290" s="1157" t="s">
        <v>119</v>
      </c>
      <c r="J290" s="1179">
        <f>IFERROR(K290/K$247,0)</f>
        <v>0</v>
      </c>
      <c r="K290" s="1167">
        <f>K269+K288</f>
        <v>12053.479020315837</v>
      </c>
      <c r="L290" s="1157" t="s">
        <v>119</v>
      </c>
      <c r="M290" s="1179">
        <f>IFERROR(N290/N$247,0)</f>
        <v>0</v>
      </c>
      <c r="N290" s="1167">
        <f>N269+N288</f>
        <v>12007.969451100169</v>
      </c>
      <c r="O290" s="1157" t="s">
        <v>119</v>
      </c>
      <c r="P290" s="1179">
        <f>IFERROR(Q290/Q$247,0)</f>
        <v>0</v>
      </c>
      <c r="Q290" s="1167">
        <f>Q269+Q288</f>
        <v>12021.755363206843</v>
      </c>
      <c r="R290" s="1157" t="s">
        <v>119</v>
      </c>
      <c r="S290" s="1179">
        <f>IFERROR(T290/T$247,0)</f>
        <v>0</v>
      </c>
      <c r="T290" s="1167">
        <f>T269+T288</f>
        <v>13687.579665020465</v>
      </c>
      <c r="U290" s="1157" t="s">
        <v>119</v>
      </c>
      <c r="V290" s="1179">
        <f>IFERROR(W290/W$247,0)</f>
        <v>0</v>
      </c>
      <c r="W290" s="1167">
        <f>W269+W288</f>
        <v>12292.767254429567</v>
      </c>
      <c r="X290" s="1157" t="s">
        <v>119</v>
      </c>
      <c r="Y290" s="1179">
        <f>IFERROR(Z290/Z$247,0)</f>
        <v>0</v>
      </c>
      <c r="Z290" s="1167">
        <f>Z269+Z288</f>
        <v>13651.526996906072</v>
      </c>
      <c r="AA290" s="1157" t="s">
        <v>119</v>
      </c>
      <c r="AB290" s="1179">
        <f>IFERROR(AC290/AC$247,0)</f>
        <v>0</v>
      </c>
      <c r="AC290" s="1167">
        <f>AC269+AC288</f>
        <v>11994.378159037402</v>
      </c>
      <c r="AD290" s="1157" t="s">
        <v>119</v>
      </c>
      <c r="AE290" s="1179">
        <f>IFERROR(AF290/AF$247,0)</f>
        <v>0</v>
      </c>
      <c r="AF290" s="1167">
        <f>AF269+AF288</f>
        <v>12003.351031555363</v>
      </c>
      <c r="AG290" s="1157" t="s">
        <v>119</v>
      </c>
      <c r="AH290" s="1179">
        <f>IFERROR(AI290/AI$247,0)</f>
        <v>0</v>
      </c>
      <c r="AI290" s="1167">
        <f>AI269+AI288</f>
        <v>13864.44906709118</v>
      </c>
      <c r="AJ290" s="1157" t="s">
        <v>119</v>
      </c>
      <c r="AK290" s="1179">
        <f>IFERROR(AL290/AL$247,0)</f>
        <v>0</v>
      </c>
      <c r="AL290" s="1167">
        <f>AL269+AL288</f>
        <v>12431.243412243817</v>
      </c>
      <c r="AM290" s="1157" t="s">
        <v>119</v>
      </c>
      <c r="AN290" s="1179">
        <f>IFERROR(AO290/AO$247,0)</f>
        <v>0</v>
      </c>
      <c r="AO290" s="1167">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70" t="s">
        <v>151</v>
      </c>
      <c r="C292" s="1170"/>
      <c r="D292" s="1181"/>
      <c r="E292" s="1173">
        <f>E253-E290</f>
        <v>18692.827917901101</v>
      </c>
      <c r="F292" s="1170"/>
      <c r="G292" s="1181"/>
      <c r="H292" s="1173">
        <f>H253-H290</f>
        <v>-6426.8726487305248</v>
      </c>
      <c r="I292" s="1170"/>
      <c r="J292" s="1181"/>
      <c r="K292" s="1173">
        <f>K253-K290</f>
        <v>42.520979684162739</v>
      </c>
      <c r="L292" s="1170"/>
      <c r="M292" s="1181"/>
      <c r="N292" s="1173">
        <f>N253-N290</f>
        <v>5272.030548899831</v>
      </c>
      <c r="O292" s="1170"/>
      <c r="P292" s="1181"/>
      <c r="Q292" s="1173">
        <f>Q253-Q290</f>
        <v>5258.244636793157</v>
      </c>
      <c r="R292" s="1170"/>
      <c r="S292" s="1181"/>
      <c r="T292" s="1173">
        <f>T253-T290</f>
        <v>3592.4203349795353</v>
      </c>
      <c r="U292" s="1170"/>
      <c r="V292" s="1181"/>
      <c r="W292" s="1173">
        <f>W253-W290</f>
        <v>6715.2327455704326</v>
      </c>
      <c r="X292" s="1170"/>
      <c r="Y292" s="1181"/>
      <c r="Z292" s="1173">
        <f>Z253-Z290</f>
        <v>172.47300309392813</v>
      </c>
      <c r="AA292" s="1170"/>
      <c r="AB292" s="1181"/>
      <c r="AC292" s="1173">
        <f>AC253-AC290</f>
        <v>3557.6218409625981</v>
      </c>
      <c r="AD292" s="1170"/>
      <c r="AE292" s="1181"/>
      <c r="AF292" s="1173">
        <f>AF253-AF290</f>
        <v>3548.6489684446369</v>
      </c>
      <c r="AG292" s="1170"/>
      <c r="AH292" s="1181"/>
      <c r="AI292" s="1173">
        <f>AI253-AI290</f>
        <v>1687.55093290882</v>
      </c>
      <c r="AJ292" s="1170"/>
      <c r="AK292" s="1181"/>
      <c r="AL292" s="1173">
        <f>AL253-AL290</f>
        <v>1392.7565877561829</v>
      </c>
      <c r="AM292" s="1170"/>
      <c r="AN292" s="1181"/>
      <c r="AO292" s="1173">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5"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6"/>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285">
        <v>2022</v>
      </c>
      <c r="D296" s="1286"/>
      <c r="E296" s="1287"/>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201">
        <f>SUM(C298:C306)</f>
        <v>5574048.9196860008</v>
      </c>
      <c r="D307" s="1202">
        <f>IF(C307&lt;=0,0,E307/C307)</f>
        <v>0.26512195263428939</v>
      </c>
      <c r="E307" s="1203">
        <f>SUM(E298:E306)</f>
        <v>1477802.7336662039</v>
      </c>
      <c r="F307" s="1201">
        <f>SUM(F298:F306)</f>
        <v>436419.9951296057</v>
      </c>
      <c r="G307" s="1202">
        <f t="shared" si="50"/>
        <v>0.24120382644806501</v>
      </c>
      <c r="H307" s="1203">
        <f>SUM(H298:H306)</f>
        <v>105266.1727637068</v>
      </c>
      <c r="I307" s="1201">
        <f>SUM(I298:I306)</f>
        <v>428586.58238140179</v>
      </c>
      <c r="J307" s="1202">
        <f t="shared" si="51"/>
        <v>0.23769810215244144</v>
      </c>
      <c r="K307" s="1203">
        <f>SUM(K298:K306)</f>
        <v>101874.2172400602</v>
      </c>
      <c r="L307" s="1201">
        <f>SUM(L298:L306)</f>
        <v>497935.41191596643</v>
      </c>
      <c r="M307" s="1202">
        <f t="shared" si="52"/>
        <v>0.28742880884510785</v>
      </c>
      <c r="N307" s="1203">
        <f>SUM(N298:N306)</f>
        <v>143120.98232880436</v>
      </c>
      <c r="O307" s="1201">
        <f>SUM(O298:O306)</f>
        <v>419776.70378074882</v>
      </c>
      <c r="P307" s="1202">
        <f t="shared" si="53"/>
        <v>0.24442179212509024</v>
      </c>
      <c r="Q307" s="1203">
        <f>SUM(Q298:Q306)</f>
        <v>102602.57423045377</v>
      </c>
      <c r="R307" s="1201">
        <f>SUM(R298:R306)</f>
        <v>507414.78458856675</v>
      </c>
      <c r="S307" s="1202">
        <f t="shared" si="54"/>
        <v>0.2538212841237823</v>
      </c>
      <c r="T307" s="1203">
        <f>SUM(T298:T306)</f>
        <v>128792.6722076624</v>
      </c>
      <c r="U307" s="1201">
        <f>SUM(U298:U306)</f>
        <v>447961.84131379955</v>
      </c>
      <c r="V307" s="1202">
        <f t="shared" si="55"/>
        <v>0.30804928614421834</v>
      </c>
      <c r="W307" s="1203">
        <f>SUM(W298:W306)</f>
        <v>137994.32543656556</v>
      </c>
      <c r="X307" s="1201">
        <f>SUM(X298:X306)</f>
        <v>471437.52484694065</v>
      </c>
      <c r="Y307" s="1202">
        <f t="shared" si="56"/>
        <v>0.24884326897068568</v>
      </c>
      <c r="Z307" s="1203">
        <f>SUM(Z298:Z306)</f>
        <v>117314.05479836157</v>
      </c>
      <c r="AA307" s="1201">
        <f>SUM(AA298:AA306)</f>
        <v>488231.16794497444</v>
      </c>
      <c r="AB307" s="1202">
        <f t="shared" si="57"/>
        <v>0.24602306879103097</v>
      </c>
      <c r="AC307" s="1203">
        <f>SUM(AC298:AC306)</f>
        <v>120116.13021725185</v>
      </c>
      <c r="AD307" s="1201">
        <f>SUM(AD298:AD306)</f>
        <v>503687.3840934051</v>
      </c>
      <c r="AE307" s="1202">
        <f t="shared" si="58"/>
        <v>0.29911673020245694</v>
      </c>
      <c r="AF307" s="1203">
        <f>SUM(AF298:AF306)</f>
        <v>150661.32337424834</v>
      </c>
      <c r="AG307" s="1201">
        <f>SUM(AG298:AG306)</f>
        <v>519515.12103880639</v>
      </c>
      <c r="AH307" s="1202">
        <f t="shared" si="59"/>
        <v>0.24633044437362003</v>
      </c>
      <c r="AI307" s="1203">
        <f>SUM(AI298:AI306)</f>
        <v>127972.39062430417</v>
      </c>
      <c r="AJ307" s="1201">
        <f>SUM(AJ298:AJ306)</f>
        <v>478890.55541760154</v>
      </c>
      <c r="AK307" s="1202">
        <f t="shared" si="60"/>
        <v>0.26043706286837526</v>
      </c>
      <c r="AL307" s="1203">
        <f>SUM(AL298:AL306)</f>
        <v>124720.84968836504</v>
      </c>
      <c r="AM307" s="1201">
        <f>SUM(AM298:AM306)</f>
        <v>374191.84723418299</v>
      </c>
      <c r="AN307" s="1202">
        <f t="shared" si="61"/>
        <v>0.31365472450544141</v>
      </c>
      <c r="AO307" s="1203">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201">
        <f>C307+C310+C311</f>
        <v>6474048.9196860008</v>
      </c>
      <c r="D312" s="1202">
        <f>IF(C312&lt;=0,0,E312/C312)</f>
        <v>0.25616623449095594</v>
      </c>
      <c r="E312" s="1203">
        <f>E307+E310+E311</f>
        <v>1658432.7336662039</v>
      </c>
      <c r="F312" s="1201">
        <f>F307+F310+F311</f>
        <v>507168.92548983422</v>
      </c>
      <c r="G312" s="1202">
        <f>IF(F312&lt;=0,0,H312/F312)</f>
        <v>0.23441147257824926</v>
      </c>
      <c r="H312" s="1203">
        <f>H307+H310+H311</f>
        <v>118886.21467000042</v>
      </c>
      <c r="I312" s="1201">
        <f>I307+I310+I311</f>
        <v>494585.56789248245</v>
      </c>
      <c r="J312" s="1202">
        <f>IF(I312&lt;=0,0,K312/I312)</f>
        <v>0.23182710893421396</v>
      </c>
      <c r="K312" s="1203">
        <f>K307+K310+K311</f>
        <v>114658.3423251006</v>
      </c>
      <c r="L312" s="1201">
        <f>L307+L310+L311</f>
        <v>543337.74558988074</v>
      </c>
      <c r="M312" s="1202">
        <f>IF(L312&lt;=0,0,N312/L312)</f>
        <v>0.28056497005249076</v>
      </c>
      <c r="N312" s="1203">
        <f>N307+N310+N311</f>
        <v>152441.53831981274</v>
      </c>
      <c r="O312" s="1201">
        <f>O307+O310+O311</f>
        <v>488807.5478518976</v>
      </c>
      <c r="P312" s="1202">
        <f>IF(O312&lt;=0,0,Q312/O312)</f>
        <v>0.23924735618350501</v>
      </c>
      <c r="Q312" s="1203">
        <f>Q307+Q310+Q311</f>
        <v>116945.91350610861</v>
      </c>
      <c r="R312" s="1201">
        <f>R307+R310+R311</f>
        <v>577888.69067630509</v>
      </c>
      <c r="S312" s="1202">
        <f>IF(R312&lt;=0,0,T312/R312)</f>
        <v>0.24854288952248577</v>
      </c>
      <c r="T312" s="1203">
        <f>T307+T310+T311</f>
        <v>143630.12500305485</v>
      </c>
      <c r="U312" s="1201">
        <f>U307+U310+U311</f>
        <v>496950.44982921128</v>
      </c>
      <c r="V312" s="1202">
        <f>IF(U312&lt;=0,0,W312/U312)</f>
        <v>0.29850935574226739</v>
      </c>
      <c r="W312" s="1203">
        <f>W307+W310+W311</f>
        <v>148344.35861434785</v>
      </c>
      <c r="X312" s="1201">
        <f>X307+X310+X311</f>
        <v>529082.27480054961</v>
      </c>
      <c r="Y312" s="1202">
        <f>IF(X312&lt;=0,0,Z312/X312)</f>
        <v>0.24485734662117364</v>
      </c>
      <c r="Z312" s="1203">
        <f>Z307+Z310+Z311</f>
        <v>129549.68195195722</v>
      </c>
      <c r="AA312" s="1201">
        <f>AA307+AA310+AA311</f>
        <v>533905.15450539964</v>
      </c>
      <c r="AB312" s="1202">
        <f>IF(AA312&lt;=0,0,AC312/AA312)</f>
        <v>0.24345298907911439</v>
      </c>
      <c r="AC312" s="1203">
        <f>AC307+AC310+AC311</f>
        <v>129980.80574908594</v>
      </c>
      <c r="AD312" s="1201">
        <f>AD307+AD310+AD311</f>
        <v>567946.45767715748</v>
      </c>
      <c r="AE312" s="1202">
        <f>IF(AD312&lt;=0,0,AF312/AD312)</f>
        <v>0.288511722732884</v>
      </c>
      <c r="AF312" s="1203">
        <f>AF307+AF310+AF311</f>
        <v>163859.21092447569</v>
      </c>
      <c r="AG312" s="1201">
        <f>AG307+AG310+AG311</f>
        <v>616261.45423448586</v>
      </c>
      <c r="AH312" s="1202">
        <f>IF(AG312&lt;=0,0,AI312/AG312)</f>
        <v>0.23872143654259587</v>
      </c>
      <c r="AI312" s="1203">
        <f>AI307+AI310+AI311</f>
        <v>147114.81964068566</v>
      </c>
      <c r="AJ312" s="1201">
        <f>AJ307+AJ310+AJ311</f>
        <v>663001.62938287423</v>
      </c>
      <c r="AK312" s="1202">
        <f>IF(AJ312&lt;=0,0,AL312/AJ312)</f>
        <v>0.24084149610448669</v>
      </c>
      <c r="AL312" s="1203">
        <f>AL307+AL310+AL311</f>
        <v>159678.30434028382</v>
      </c>
      <c r="AM312" s="1201">
        <f>AM307+AM310+AM311</f>
        <v>455113.02175592212</v>
      </c>
      <c r="AN312" s="1202">
        <f>IF(AM312&lt;=0,0,AO312/AM312)</f>
        <v>0.29298968002898168</v>
      </c>
      <c r="AO312" s="1203">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4"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4"/>
      <c r="C318" s="1205"/>
      <c r="D318" s="1206"/>
      <c r="E318" s="1207"/>
      <c r="F318" s="1205"/>
      <c r="G318" s="1206"/>
      <c r="H318" s="1207"/>
      <c r="I318" s="1205"/>
      <c r="J318" s="1206"/>
      <c r="K318" s="1207"/>
      <c r="L318" s="1205"/>
      <c r="M318" s="1206"/>
      <c r="N318" s="1207"/>
      <c r="O318" s="1205"/>
      <c r="P318" s="1206"/>
      <c r="Q318" s="1207"/>
      <c r="R318" s="1205"/>
      <c r="S318" s="1206"/>
      <c r="T318" s="1207"/>
      <c r="U318" s="1205"/>
      <c r="V318" s="1206"/>
      <c r="W318" s="1207"/>
      <c r="X318" s="1205"/>
      <c r="Y318" s="1206"/>
      <c r="Z318" s="1207"/>
      <c r="AA318" s="1205"/>
      <c r="AB318" s="1206"/>
      <c r="AC318" s="1207"/>
      <c r="AD318" s="1205"/>
      <c r="AE318" s="1206"/>
      <c r="AF318" s="1207"/>
      <c r="AG318" s="1205"/>
      <c r="AH318" s="1206"/>
      <c r="AI318" s="1207"/>
      <c r="AJ318" s="1205"/>
      <c r="AK318" s="1206"/>
      <c r="AL318" s="1207"/>
      <c r="AM318" s="1205"/>
      <c r="AN318" s="1206"/>
      <c r="AO318" s="120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5"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60"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61"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60" t="s">
        <v>122</v>
      </c>
      <c r="C323" s="1144"/>
      <c r="D323" s="1162"/>
      <c r="E323" s="1163">
        <f t="shared" si="63"/>
        <v>151.93333333333334</v>
      </c>
      <c r="F323" s="1144"/>
      <c r="G323" s="1162"/>
      <c r="H323" s="1164">
        <f>[1]Salaire!$E$185</f>
        <v>151.93333333333334</v>
      </c>
      <c r="I323" s="1144"/>
      <c r="J323" s="1162"/>
      <c r="K323" s="1164">
        <f>[1]Salaire!$F$185</f>
        <v>0</v>
      </c>
      <c r="L323" s="1144"/>
      <c r="M323" s="1162"/>
      <c r="N323" s="1164">
        <f>[1]Salaire!$G$185</f>
        <v>0</v>
      </c>
      <c r="O323" s="1144"/>
      <c r="P323" s="1162"/>
      <c r="Q323" s="1164">
        <f>[1]Salaire!$H$185</f>
        <v>0</v>
      </c>
      <c r="R323" s="1144"/>
      <c r="S323" s="1162"/>
      <c r="T323" s="1164">
        <f>[1]Salaire!$I$185</f>
        <v>0</v>
      </c>
      <c r="U323" s="1144"/>
      <c r="V323" s="1162"/>
      <c r="W323" s="1164">
        <f>[1]Salaire!$J$185</f>
        <v>0</v>
      </c>
      <c r="X323" s="1144"/>
      <c r="Y323" s="1162"/>
      <c r="Z323" s="1164">
        <f>[1]Salaire!$K$185</f>
        <v>0</v>
      </c>
      <c r="AA323" s="1144"/>
      <c r="AB323" s="1162"/>
      <c r="AC323" s="1164">
        <f>[1]Salaire!$L$185</f>
        <v>0</v>
      </c>
      <c r="AD323" s="1144"/>
      <c r="AE323" s="1162"/>
      <c r="AF323" s="1164">
        <f>[1]Salaire!$M$185</f>
        <v>0</v>
      </c>
      <c r="AG323" s="1144"/>
      <c r="AH323" s="1162"/>
      <c r="AI323" s="1164">
        <f>[1]Salaire!$N$185</f>
        <v>0</v>
      </c>
      <c r="AJ323" s="1144"/>
      <c r="AK323" s="1162"/>
      <c r="AL323" s="1164">
        <f>[1]Salaire!$O$185</f>
        <v>0</v>
      </c>
      <c r="AM323" s="1144"/>
      <c r="AN323" s="1162"/>
      <c r="AO323" s="1164">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60"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61"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60" t="s">
        <v>125</v>
      </c>
      <c r="C329" s="1144"/>
      <c r="D329" s="1162"/>
      <c r="E329" s="1163">
        <f t="shared" si="63"/>
        <v>66082.406457364152</v>
      </c>
      <c r="F329" s="1144"/>
      <c r="G329" s="1162"/>
      <c r="H329" s="1164">
        <f>'[1]DAS-VAC'!$F$55</f>
        <v>5273.7784659510899</v>
      </c>
      <c r="I329" s="1144"/>
      <c r="J329" s="1162"/>
      <c r="K329" s="1164">
        <f>'[1]DAS-VAC'!$G$55</f>
        <v>5105.910665951089</v>
      </c>
      <c r="L329" s="1144"/>
      <c r="M329" s="1162"/>
      <c r="N329" s="1164">
        <f>'[1]DAS-VAC'!$H$55</f>
        <v>5105.910665951089</v>
      </c>
      <c r="O329" s="1144"/>
      <c r="P329" s="1162"/>
      <c r="Q329" s="1164">
        <f>'[1]DAS-VAC'!$I$55</f>
        <v>5105.910665951089</v>
      </c>
      <c r="R329" s="1144"/>
      <c r="S329" s="1162"/>
      <c r="T329" s="1164">
        <f>'[1]DAS-VAC'!$J$55</f>
        <v>6266.8133324388609</v>
      </c>
      <c r="U329" s="1144"/>
      <c r="V329" s="1162"/>
      <c r="W329" s="1164">
        <f>'[1]DAS-VAC'!$K$55</f>
        <v>5105.910665951089</v>
      </c>
      <c r="X329" s="1144"/>
      <c r="Y329" s="1162"/>
      <c r="Z329" s="1164">
        <f>'[1]DAS-VAC'!$L$55</f>
        <v>6266.8133324388609</v>
      </c>
      <c r="AA329" s="1144"/>
      <c r="AB329" s="1162"/>
      <c r="AC329" s="1164">
        <f>'[1]DAS-VAC'!$M$55</f>
        <v>5105.910665951089</v>
      </c>
      <c r="AD329" s="1144"/>
      <c r="AE329" s="1162"/>
      <c r="AF329" s="1164">
        <f>'[1]DAS-VAC'!$N$55</f>
        <v>5105.910665951089</v>
      </c>
      <c r="AG329" s="1144"/>
      <c r="AH329" s="1162"/>
      <c r="AI329" s="1164">
        <f>'[1]DAS-VAC'!$O$55</f>
        <v>6266.8133324388609</v>
      </c>
      <c r="AJ329" s="1144"/>
      <c r="AK329" s="1162"/>
      <c r="AL329" s="1164">
        <f>'[1]DAS-VAC'!$P$55</f>
        <v>5105.910665951089</v>
      </c>
      <c r="AM329" s="1144"/>
      <c r="AN329" s="1162"/>
      <c r="AO329" s="1164">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5"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60"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6" t="s">
        <v>128</v>
      </c>
      <c r="C333" s="1157" t="s">
        <v>119</v>
      </c>
      <c r="D333" s="1158">
        <f>IFERROR(E333/E$317,0)</f>
        <v>0.37037604386019496</v>
      </c>
      <c r="E333" s="1159">
        <f>+SUM(E321:E332)</f>
        <v>614243.75490353699</v>
      </c>
      <c r="F333" s="1157" t="s">
        <v>119</v>
      </c>
      <c r="G333" s="1158">
        <f>IFERROR(H333/H$317,0)</f>
        <v>0.41315334524241243</v>
      </c>
      <c r="H333" s="1159">
        <f>+SUM(H321:H332)</f>
        <v>49118.23729411824</v>
      </c>
      <c r="I333" s="1157" t="s">
        <v>119</v>
      </c>
      <c r="J333" s="1158">
        <f>IFERROR(K333/K$317,0)</f>
        <v>0.41402720614534749</v>
      </c>
      <c r="K333" s="1159">
        <f>+SUM(K321:K332)</f>
        <v>47471.673134118246</v>
      </c>
      <c r="L333" s="1157" t="s">
        <v>119</v>
      </c>
      <c r="M333" s="1158">
        <f>IFERROR(N333/N$317,0)</f>
        <v>0.31140904019563004</v>
      </c>
      <c r="N333" s="1159">
        <f>+SUM(N321:N332)</f>
        <v>47471.673134118246</v>
      </c>
      <c r="O333" s="1157" t="s">
        <v>119</v>
      </c>
      <c r="P333" s="1158">
        <f>IFERROR(Q333/Q$317,0)</f>
        <v>0.40592844769764946</v>
      </c>
      <c r="Q333" s="1159">
        <f>+SUM(Q321:Q332)</f>
        <v>47471.673134118246</v>
      </c>
      <c r="R333" s="1157" t="s">
        <v>119</v>
      </c>
      <c r="S333" s="1158">
        <f>IFERROR(T333/T$317,0)</f>
        <v>0.40524890872586666</v>
      </c>
      <c r="T333" s="1159">
        <f>+SUM(T321:T332)</f>
        <v>58205.951417647797</v>
      </c>
      <c r="U333" s="1157" t="s">
        <v>119</v>
      </c>
      <c r="V333" s="1158">
        <f>IFERROR(W333/W$317,0)</f>
        <v>0.32000996584933017</v>
      </c>
      <c r="W333" s="1159">
        <f>+SUM(W321:W332)</f>
        <v>47471.673134118246</v>
      </c>
      <c r="X333" s="1157" t="s">
        <v>119</v>
      </c>
      <c r="Y333" s="1158">
        <f>IFERROR(Z333/Z$317,0)</f>
        <v>0.44929443701168753</v>
      </c>
      <c r="Z333" s="1159">
        <f>+SUM(Z321:Z332)</f>
        <v>58205.951417647797</v>
      </c>
      <c r="AA333" s="1157" t="s">
        <v>119</v>
      </c>
      <c r="AB333" s="1158">
        <f>IFERROR(AC333/AC$317,0)</f>
        <v>0.36522064054409109</v>
      </c>
      <c r="AC333" s="1159">
        <f>+SUM(AC321:AC332)</f>
        <v>47471.673134118246</v>
      </c>
      <c r="AD333" s="1157" t="s">
        <v>119</v>
      </c>
      <c r="AE333" s="1158">
        <f>IFERROR(AF333/AF$317,0)</f>
        <v>0.28971012899603432</v>
      </c>
      <c r="AF333" s="1159">
        <f>+SUM(AF321:AF332)</f>
        <v>47471.673134118246</v>
      </c>
      <c r="AG333" s="1157" t="s">
        <v>119</v>
      </c>
      <c r="AH333" s="1158">
        <f>IFERROR(AI333/AI$317,0)</f>
        <v>0.39564981665212551</v>
      </c>
      <c r="AI333" s="1159">
        <f>+SUM(AI321:AI332)</f>
        <v>58205.951417647797</v>
      </c>
      <c r="AJ333" s="1157" t="s">
        <v>119</v>
      </c>
      <c r="AK333" s="1158">
        <f>IFERROR(AL333/AL$317,0)</f>
        <v>0.29729569918874721</v>
      </c>
      <c r="AL333" s="1159">
        <f>+SUM(AL321:AL332)</f>
        <v>47471.673134118246</v>
      </c>
      <c r="AM333" s="1157" t="s">
        <v>119</v>
      </c>
      <c r="AN333" s="1158">
        <f>IFERROR(AO333/AO$317,0)</f>
        <v>0.43651161804212363</v>
      </c>
      <c r="AO333" s="1159">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9"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60"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61"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60"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60"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61"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60"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60"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60"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60"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60"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60"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60"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60"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60"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60"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60"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60"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6" t="s">
        <v>143</v>
      </c>
      <c r="C352" s="1157" t="s">
        <v>119</v>
      </c>
      <c r="D352" s="1158">
        <f>IFERROR(E352/E$317,0)</f>
        <v>0.24586921464664507</v>
      </c>
      <c r="E352" s="1159">
        <f>+SUM(E334:E351)</f>
        <v>407757.55377079826</v>
      </c>
      <c r="F352" s="1157" t="s">
        <v>119</v>
      </c>
      <c r="G352" s="1158">
        <f>IFERROR(H352/H$317,0)</f>
        <v>0.32595179689622816</v>
      </c>
      <c r="H352" s="1159">
        <f>+SUM(H334:H351)</f>
        <v>38751.175297877358</v>
      </c>
      <c r="I352" s="1157" t="s">
        <v>119</v>
      </c>
      <c r="J352" s="1158">
        <f>IFERROR(K352/K$317,0)</f>
        <v>0.26286638900989734</v>
      </c>
      <c r="K352" s="1159">
        <f>+SUM(K334:K351)</f>
        <v>30139.824416859872</v>
      </c>
      <c r="L352" s="1157" t="s">
        <v>119</v>
      </c>
      <c r="M352" s="1158">
        <f>IFERROR(N352/N$317,0)</f>
        <v>0.21469503563493408</v>
      </c>
      <c r="N352" s="1159">
        <f>+SUM(N334:N351)</f>
        <v>32728.441501816364</v>
      </c>
      <c r="O352" s="1157" t="s">
        <v>119</v>
      </c>
      <c r="P352" s="1158">
        <f>IFERROR(Q352/Q$317,0)</f>
        <v>0.34515079935183046</v>
      </c>
      <c r="Q352" s="1159">
        <f>+SUM(Q334:Q351)</f>
        <v>40363.975527563416</v>
      </c>
      <c r="R352" s="1157" t="s">
        <v>119</v>
      </c>
      <c r="S352" s="1158">
        <f>IFERROR(T352/T$317,0)</f>
        <v>0.24889973783537117</v>
      </c>
      <c r="T352" s="1159">
        <f>+SUM(T334:T351)</f>
        <v>35749.500458521943</v>
      </c>
      <c r="U352" s="1157" t="s">
        <v>119</v>
      </c>
      <c r="V352" s="1158">
        <f>IFERROR(W352/W$317,0)</f>
        <v>0.20502232153913333</v>
      </c>
      <c r="W352" s="1159">
        <f>+SUM(W334:W351)</f>
        <v>30413.904790347326</v>
      </c>
      <c r="X352" s="1157" t="s">
        <v>119</v>
      </c>
      <c r="Y352" s="1158">
        <f>IFERROR(Z352/Z$317,0)</f>
        <v>0.24929952000992725</v>
      </c>
      <c r="Z352" s="1159">
        <f>+SUM(Z334:Z351)</f>
        <v>32296.67352806167</v>
      </c>
      <c r="AA352" s="1157" t="s">
        <v>119</v>
      </c>
      <c r="AB352" s="1158">
        <f>IFERROR(AC352/AC$317,0)</f>
        <v>0.22562219642156725</v>
      </c>
      <c r="AC352" s="1159">
        <f>+SUM(AC334:AC351)</f>
        <v>29326.554885753845</v>
      </c>
      <c r="AD352" s="1157" t="s">
        <v>119</v>
      </c>
      <c r="AE352" s="1158">
        <f>IFERROR(AF352/AF$317,0)</f>
        <v>0.18127451830679212</v>
      </c>
      <c r="AF352" s="1159">
        <f>+SUM(AF334:AF351)</f>
        <v>29703.499530465378</v>
      </c>
      <c r="AG352" s="1157" t="s">
        <v>119</v>
      </c>
      <c r="AH352" s="1158">
        <f>IFERROR(AI352/AI$317,0)</f>
        <v>0.24061140536073111</v>
      </c>
      <c r="AI352" s="1159">
        <f>+SUM(AI334:AI351)</f>
        <v>35397.503503135864</v>
      </c>
      <c r="AJ352" s="1157" t="s">
        <v>119</v>
      </c>
      <c r="AK352" s="1158">
        <f>IFERROR(AL352/AL$317,0)</f>
        <v>0.24008933721395737</v>
      </c>
      <c r="AL352" s="1159">
        <f>+SUM(AL334:AL351)</f>
        <v>38337.058256507313</v>
      </c>
      <c r="AM352" s="1157" t="s">
        <v>119</v>
      </c>
      <c r="AN352" s="1158">
        <f>IFERROR(AO352/AO$317,0)</f>
        <v>0.2591012172262665</v>
      </c>
      <c r="AO352" s="1159">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6" t="s">
        <v>144</v>
      </c>
      <c r="C354" s="1157" t="s">
        <v>119</v>
      </c>
      <c r="D354" s="1179">
        <f>IFERROR(E354/E$317,0)</f>
        <v>0.61624525850684009</v>
      </c>
      <c r="E354" s="1167">
        <f>E333+E352</f>
        <v>1022001.3086743352</v>
      </c>
      <c r="F354" s="1157" t="s">
        <v>119</v>
      </c>
      <c r="G354" s="1179">
        <f>IFERROR(H354/H$317,0)</f>
        <v>0.73910514213864054</v>
      </c>
      <c r="H354" s="1167">
        <f>H333+H352</f>
        <v>87869.412591995599</v>
      </c>
      <c r="I354" s="1157" t="s">
        <v>119</v>
      </c>
      <c r="J354" s="1179">
        <f>IFERROR(K354/K$317,0)</f>
        <v>0.67689359515524483</v>
      </c>
      <c r="K354" s="1167">
        <f>K333+K352</f>
        <v>77611.497550978122</v>
      </c>
      <c r="L354" s="1157" t="s">
        <v>119</v>
      </c>
      <c r="M354" s="1179">
        <f>IFERROR(N354/N$317,0)</f>
        <v>0.52610407583056418</v>
      </c>
      <c r="N354" s="1167">
        <f>N333+N352</f>
        <v>80200.114635934617</v>
      </c>
      <c r="O354" s="1157" t="s">
        <v>119</v>
      </c>
      <c r="P354" s="1179">
        <f>IFERROR(Q354/Q$317,0)</f>
        <v>0.75107924704947981</v>
      </c>
      <c r="Q354" s="1167">
        <f>Q333+Q352</f>
        <v>87835.648661681655</v>
      </c>
      <c r="R354" s="1157" t="s">
        <v>119</v>
      </c>
      <c r="S354" s="1179">
        <f>IFERROR(T354/T$317,0)</f>
        <v>0.65414864656123783</v>
      </c>
      <c r="T354" s="1167">
        <f>T333+T352</f>
        <v>93955.45187616974</v>
      </c>
      <c r="U354" s="1157" t="s">
        <v>119</v>
      </c>
      <c r="V354" s="1179">
        <f>IFERROR(W354/W$317,0)</f>
        <v>0.52503228738846353</v>
      </c>
      <c r="W354" s="1167">
        <f>W333+W352</f>
        <v>77885.577924465571</v>
      </c>
      <c r="X354" s="1157" t="s">
        <v>119</v>
      </c>
      <c r="Y354" s="1179">
        <f>IFERROR(Z354/Z$317,0)</f>
        <v>0.69859395702161486</v>
      </c>
      <c r="Z354" s="1167">
        <f>Z333+Z352</f>
        <v>90502.624945709467</v>
      </c>
      <c r="AA354" s="1157" t="s">
        <v>119</v>
      </c>
      <c r="AB354" s="1179">
        <f>IFERROR(AC354/AC$317,0)</f>
        <v>0.59084283696565842</v>
      </c>
      <c r="AC354" s="1167">
        <f>AC333+AC352</f>
        <v>76798.228019872098</v>
      </c>
      <c r="AD354" s="1157" t="s">
        <v>119</v>
      </c>
      <c r="AE354" s="1179">
        <f>IFERROR(AF354/AF$317,0)</f>
        <v>0.47098464730282646</v>
      </c>
      <c r="AF354" s="1167">
        <f>AF333+AF352</f>
        <v>77175.172664583632</v>
      </c>
      <c r="AG354" s="1157" t="s">
        <v>119</v>
      </c>
      <c r="AH354" s="1179">
        <f>IFERROR(AI354/AI$317,0)</f>
        <v>0.63626122201285673</v>
      </c>
      <c r="AI354" s="1167">
        <f>AI333+AI352</f>
        <v>93603.454920783668</v>
      </c>
      <c r="AJ354" s="1157" t="s">
        <v>119</v>
      </c>
      <c r="AK354" s="1179">
        <f>IFERROR(AL354/AL$317,0)</f>
        <v>0.53738503640270452</v>
      </c>
      <c r="AL354" s="1167">
        <f>AL333+AL352</f>
        <v>85808.731390625559</v>
      </c>
      <c r="AM354" s="1157" t="s">
        <v>119</v>
      </c>
      <c r="AN354" s="1179">
        <f>IFERROR(AO354/AO$317,0)</f>
        <v>0.69561283526839013</v>
      </c>
      <c r="AO354" s="1167">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70" t="s">
        <v>151</v>
      </c>
      <c r="C356" s="1170"/>
      <c r="D356" s="1208">
        <f>E356/E317</f>
        <v>0.38375474149315997</v>
      </c>
      <c r="E356" s="1173">
        <f>E317-E354</f>
        <v>636431.42499186867</v>
      </c>
      <c r="F356" s="1170"/>
      <c r="G356" s="1181"/>
      <c r="H356" s="1173">
        <f>H317-H354</f>
        <v>31016.802078004825</v>
      </c>
      <c r="I356" s="1170"/>
      <c r="J356" s="1181"/>
      <c r="K356" s="1173">
        <f>K317-K354</f>
        <v>37046.844774122481</v>
      </c>
      <c r="L356" s="1170"/>
      <c r="M356" s="1181"/>
      <c r="N356" s="1173">
        <f>N317-N354</f>
        <v>72241.423683878122</v>
      </c>
      <c r="O356" s="1170"/>
      <c r="P356" s="1181"/>
      <c r="Q356" s="1173">
        <f>Q317-Q354</f>
        <v>29110.264844426958</v>
      </c>
      <c r="R356" s="1170"/>
      <c r="S356" s="1181"/>
      <c r="T356" s="1173">
        <f>T317-T354</f>
        <v>49674.673126885114</v>
      </c>
      <c r="U356" s="1170"/>
      <c r="V356" s="1181"/>
      <c r="W356" s="1173">
        <f>W317-W354</f>
        <v>70458.780689882275</v>
      </c>
      <c r="X356" s="1170"/>
      <c r="Y356" s="1181"/>
      <c r="Z356" s="1173">
        <f>Z317-Z354</f>
        <v>39047.057006247749</v>
      </c>
      <c r="AA356" s="1170"/>
      <c r="AB356" s="1181"/>
      <c r="AC356" s="1173">
        <f>AC317-AC354</f>
        <v>53182.577729213837</v>
      </c>
      <c r="AD356" s="1170"/>
      <c r="AE356" s="1181"/>
      <c r="AF356" s="1173">
        <f>AF317-AF354</f>
        <v>86684.038259892055</v>
      </c>
      <c r="AG356" s="1170"/>
      <c r="AH356" s="1181"/>
      <c r="AI356" s="1173">
        <f>AI317-AI354</f>
        <v>53511.364719901991</v>
      </c>
      <c r="AJ356" s="1170"/>
      <c r="AK356" s="1181"/>
      <c r="AL356" s="1173">
        <f>AL317-AL354</f>
        <v>73869.572949658264</v>
      </c>
      <c r="AM356" s="1170"/>
      <c r="AN356" s="1181"/>
      <c r="AO356" s="1173">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5"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6"/>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285">
        <v>2021</v>
      </c>
      <c r="D361" s="1286"/>
      <c r="E361" s="1287"/>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4"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4"/>
      <c r="C364" s="1205"/>
      <c r="D364" s="1206"/>
      <c r="E364" s="1207"/>
      <c r="F364" s="1205"/>
      <c r="G364" s="1206"/>
      <c r="H364" s="1207"/>
      <c r="I364" s="1205"/>
      <c r="J364" s="1206"/>
      <c r="K364" s="1207"/>
      <c r="L364" s="1205"/>
      <c r="M364" s="1206"/>
      <c r="N364" s="1207"/>
      <c r="O364" s="1205"/>
      <c r="P364" s="1206"/>
      <c r="Q364" s="1207"/>
      <c r="R364" s="1205"/>
      <c r="S364" s="1206"/>
      <c r="T364" s="1207"/>
      <c r="U364" s="1205"/>
      <c r="V364" s="1206"/>
      <c r="W364" s="1207"/>
      <c r="X364" s="1205"/>
      <c r="Y364" s="1206"/>
      <c r="Z364" s="1207"/>
      <c r="AA364" s="1205"/>
      <c r="AB364" s="1206"/>
      <c r="AC364" s="1207"/>
      <c r="AD364" s="1205"/>
      <c r="AE364" s="1206"/>
      <c r="AF364" s="1207"/>
      <c r="AG364" s="1205"/>
      <c r="AH364" s="1206"/>
      <c r="AI364" s="1207"/>
      <c r="AJ364" s="1205"/>
      <c r="AK364" s="1206"/>
      <c r="AL364" s="1207"/>
      <c r="AM364" s="1205"/>
      <c r="AN364" s="1206"/>
      <c r="AO364" s="120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5"/>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5"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60"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61"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60" t="s">
        <v>122</v>
      </c>
      <c r="C370" s="1144"/>
      <c r="D370" s="1162"/>
      <c r="E370" s="1163">
        <f t="shared" si="67"/>
        <v>0</v>
      </c>
      <c r="F370" s="1144"/>
      <c r="G370" s="1162"/>
      <c r="H370" s="1164"/>
      <c r="I370" s="1144"/>
      <c r="J370" s="1162"/>
      <c r="K370" s="1164"/>
      <c r="L370" s="1144"/>
      <c r="M370" s="1162"/>
      <c r="N370" s="1164"/>
      <c r="O370" s="1144"/>
      <c r="P370" s="1162"/>
      <c r="Q370" s="1164"/>
      <c r="R370" s="1144"/>
      <c r="S370" s="1162"/>
      <c r="T370" s="1164"/>
      <c r="U370" s="1144"/>
      <c r="V370" s="1162"/>
      <c r="W370" s="1164"/>
      <c r="X370" s="1144"/>
      <c r="Y370" s="1162"/>
      <c r="Z370" s="1164"/>
      <c r="AA370" s="1144"/>
      <c r="AB370" s="1162"/>
      <c r="AC370" s="1164"/>
      <c r="AD370" s="1144"/>
      <c r="AE370" s="1162"/>
      <c r="AF370" s="1164"/>
      <c r="AG370" s="1144"/>
      <c r="AH370" s="1162"/>
      <c r="AI370" s="1164"/>
      <c r="AJ370" s="1144"/>
      <c r="AK370" s="1162"/>
      <c r="AL370" s="1164"/>
      <c r="AM370" s="1144"/>
      <c r="AN370" s="1162"/>
      <c r="AO370" s="1164"/>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60"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61"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60" t="s">
        <v>125</v>
      </c>
      <c r="C376" s="1144"/>
      <c r="D376" s="1162"/>
      <c r="E376" s="1163">
        <f t="shared" si="67"/>
        <v>0</v>
      </c>
      <c r="F376" s="1144"/>
      <c r="G376" s="1162"/>
      <c r="H376" s="1164"/>
      <c r="I376" s="1144"/>
      <c r="J376" s="1162"/>
      <c r="K376" s="1164"/>
      <c r="L376" s="1144"/>
      <c r="M376" s="1162"/>
      <c r="N376" s="1164"/>
      <c r="O376" s="1144"/>
      <c r="P376" s="1162"/>
      <c r="Q376" s="1164"/>
      <c r="R376" s="1144"/>
      <c r="S376" s="1162"/>
      <c r="T376" s="1164"/>
      <c r="U376" s="1144"/>
      <c r="V376" s="1162"/>
      <c r="W376" s="1164"/>
      <c r="X376" s="1144"/>
      <c r="Y376" s="1162"/>
      <c r="Z376" s="1164"/>
      <c r="AA376" s="1144"/>
      <c r="AB376" s="1162"/>
      <c r="AC376" s="1164"/>
      <c r="AD376" s="1144"/>
      <c r="AE376" s="1162"/>
      <c r="AF376" s="1164"/>
      <c r="AG376" s="1144"/>
      <c r="AH376" s="1162"/>
      <c r="AI376" s="1164"/>
      <c r="AJ376" s="1144"/>
      <c r="AK376" s="1162"/>
      <c r="AL376" s="1164"/>
      <c r="AM376" s="1144"/>
      <c r="AN376" s="1162"/>
      <c r="AO376" s="1164"/>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5"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60"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6" t="s">
        <v>128</v>
      </c>
      <c r="C380" s="1157" t="s">
        <v>119</v>
      </c>
      <c r="D380" s="1158">
        <f>IFERROR(E380/E$363,0)</f>
        <v>0</v>
      </c>
      <c r="E380" s="1159">
        <f>+SUM(E368:E379)</f>
        <v>0</v>
      </c>
      <c r="F380" s="1157" t="s">
        <v>119</v>
      </c>
      <c r="G380" s="1158">
        <f>IFERROR(H380/H$363,0)</f>
        <v>0</v>
      </c>
      <c r="H380" s="1159">
        <f>+SUM(H368:H379)</f>
        <v>0</v>
      </c>
      <c r="I380" s="1157" t="s">
        <v>119</v>
      </c>
      <c r="J380" s="1158">
        <f>IFERROR(K380/K$363,0)</f>
        <v>0</v>
      </c>
      <c r="K380" s="1159">
        <f>+SUM(K368:K379)</f>
        <v>0</v>
      </c>
      <c r="L380" s="1157" t="s">
        <v>119</v>
      </c>
      <c r="M380" s="1158">
        <f>IFERROR(N380/N$363,0)</f>
        <v>0</v>
      </c>
      <c r="N380" s="1159">
        <f>+SUM(N368:N379)</f>
        <v>0</v>
      </c>
      <c r="O380" s="1157" t="s">
        <v>119</v>
      </c>
      <c r="P380" s="1158">
        <f>IFERROR(Q380/Q$363,0)</f>
        <v>0</v>
      </c>
      <c r="Q380" s="1159">
        <f>+SUM(Q368:Q379)</f>
        <v>0</v>
      </c>
      <c r="R380" s="1157" t="s">
        <v>119</v>
      </c>
      <c r="S380" s="1158">
        <f>IFERROR(T380/T$363,0)</f>
        <v>0</v>
      </c>
      <c r="T380" s="1159">
        <f>+SUM(T368:T379)</f>
        <v>0</v>
      </c>
      <c r="U380" s="1157" t="s">
        <v>119</v>
      </c>
      <c r="V380" s="1158">
        <f>IFERROR(W380/W$363,0)</f>
        <v>0</v>
      </c>
      <c r="W380" s="1159">
        <f>+SUM(W368:W379)</f>
        <v>0</v>
      </c>
      <c r="X380" s="1157" t="s">
        <v>119</v>
      </c>
      <c r="Y380" s="1158">
        <f>IFERROR(Z380/Z$363,0)</f>
        <v>0</v>
      </c>
      <c r="Z380" s="1159">
        <f>+SUM(Z368:Z379)</f>
        <v>0</v>
      </c>
      <c r="AA380" s="1157" t="s">
        <v>119</v>
      </c>
      <c r="AB380" s="1158">
        <f>IFERROR(AC380/AC$363,0)</f>
        <v>0</v>
      </c>
      <c r="AC380" s="1159">
        <f>+SUM(AC368:AC379)</f>
        <v>0</v>
      </c>
      <c r="AD380" s="1157" t="s">
        <v>119</v>
      </c>
      <c r="AE380" s="1158">
        <f>IFERROR(AF380/AF$363,0)</f>
        <v>0</v>
      </c>
      <c r="AF380" s="1159">
        <f>+SUM(AF368:AF379)</f>
        <v>0</v>
      </c>
      <c r="AG380" s="1157" t="s">
        <v>119</v>
      </c>
      <c r="AH380" s="1158">
        <f>IFERROR(AI380/AI$363,0)</f>
        <v>0</v>
      </c>
      <c r="AI380" s="1159">
        <f>+SUM(AI368:AI379)</f>
        <v>0</v>
      </c>
      <c r="AJ380" s="1157" t="s">
        <v>119</v>
      </c>
      <c r="AK380" s="1158">
        <f>IFERROR(AL380/AL$363,0)</f>
        <v>0</v>
      </c>
      <c r="AL380" s="1159">
        <f>+SUM(AL368:AL379)</f>
        <v>0</v>
      </c>
      <c r="AM380" s="1157" t="s">
        <v>119</v>
      </c>
      <c r="AN380" s="1158">
        <f>IFERROR(AO380/AO$363,0)</f>
        <v>0</v>
      </c>
      <c r="AO380" s="1159">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9"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60"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61"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60"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60"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60"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9"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60"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60"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60"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60"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60"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60"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60"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60"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60"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60"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6" t="s">
        <v>143</v>
      </c>
      <c r="C398" s="1157" t="s">
        <v>119</v>
      </c>
      <c r="D398" s="1158">
        <f>IFERROR(E398/E$363,0)</f>
        <v>0</v>
      </c>
      <c r="E398" s="1159">
        <f>+SUM(E381:E397)</f>
        <v>0</v>
      </c>
      <c r="F398" s="1157" t="s">
        <v>119</v>
      </c>
      <c r="G398" s="1158">
        <f>IFERROR(H398/H$363,0)</f>
        <v>0</v>
      </c>
      <c r="H398" s="1159">
        <f>+SUM(H381:H397)</f>
        <v>0</v>
      </c>
      <c r="I398" s="1157" t="s">
        <v>119</v>
      </c>
      <c r="J398" s="1158">
        <f>IFERROR(K398/K$363,0)</f>
        <v>0</v>
      </c>
      <c r="K398" s="1159">
        <f>+SUM(K381:K397)</f>
        <v>0</v>
      </c>
      <c r="L398" s="1157" t="s">
        <v>119</v>
      </c>
      <c r="M398" s="1158">
        <f>IFERROR(N398/N$363,0)</f>
        <v>0</v>
      </c>
      <c r="N398" s="1159">
        <f>+SUM(N381:N397)</f>
        <v>0</v>
      </c>
      <c r="O398" s="1157" t="s">
        <v>119</v>
      </c>
      <c r="P398" s="1158">
        <f>IFERROR(Q398/Q$363,0)</f>
        <v>0</v>
      </c>
      <c r="Q398" s="1159">
        <f>+SUM(Q381:Q397)</f>
        <v>0</v>
      </c>
      <c r="R398" s="1157" t="s">
        <v>119</v>
      </c>
      <c r="S398" s="1158">
        <f>IFERROR(T398/T$363,0)</f>
        <v>0</v>
      </c>
      <c r="T398" s="1159">
        <f>+SUM(T381:T397)</f>
        <v>0</v>
      </c>
      <c r="U398" s="1157" t="s">
        <v>119</v>
      </c>
      <c r="V398" s="1158">
        <f>IFERROR(W398/W$363,0)</f>
        <v>0</v>
      </c>
      <c r="W398" s="1159">
        <f>+SUM(W381:W397)</f>
        <v>0</v>
      </c>
      <c r="X398" s="1157" t="s">
        <v>119</v>
      </c>
      <c r="Y398" s="1158">
        <f>IFERROR(Z398/Z$363,0)</f>
        <v>0</v>
      </c>
      <c r="Z398" s="1159">
        <f>+SUM(Z381:Z397)</f>
        <v>0</v>
      </c>
      <c r="AA398" s="1157" t="s">
        <v>119</v>
      </c>
      <c r="AB398" s="1158">
        <f>IFERROR(AC398/AC$363,0)</f>
        <v>0</v>
      </c>
      <c r="AC398" s="1159">
        <f>+SUM(AC381:AC397)</f>
        <v>0</v>
      </c>
      <c r="AD398" s="1157" t="s">
        <v>119</v>
      </c>
      <c r="AE398" s="1158">
        <f>IFERROR(AF398/AF$363,0)</f>
        <v>0</v>
      </c>
      <c r="AF398" s="1159">
        <f>+SUM(AF381:AF397)</f>
        <v>0</v>
      </c>
      <c r="AG398" s="1157" t="s">
        <v>119</v>
      </c>
      <c r="AH398" s="1158">
        <f>IFERROR(AI398/AI$363,0)</f>
        <v>0</v>
      </c>
      <c r="AI398" s="1159">
        <f>+SUM(AI381:AI397)</f>
        <v>0</v>
      </c>
      <c r="AJ398" s="1157" t="s">
        <v>119</v>
      </c>
      <c r="AK398" s="1158">
        <f>IFERROR(AL398/AL$363,0)</f>
        <v>0</v>
      </c>
      <c r="AL398" s="1159">
        <f>+SUM(AL381:AL397)</f>
        <v>0</v>
      </c>
      <c r="AM398" s="1157" t="s">
        <v>119</v>
      </c>
      <c r="AN398" s="1158">
        <f>IFERROR(AO398/AO$363,0)</f>
        <v>0</v>
      </c>
      <c r="AO398" s="1159">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6" t="s">
        <v>144</v>
      </c>
      <c r="C400" s="1157" t="s">
        <v>119</v>
      </c>
      <c r="D400" s="1158">
        <f>IFERROR(E400/E$363,0)</f>
        <v>0</v>
      </c>
      <c r="E400" s="1159">
        <f>E380+E398</f>
        <v>0</v>
      </c>
      <c r="F400" s="1157" t="s">
        <v>119</v>
      </c>
      <c r="G400" s="1158">
        <f>IFERROR(H400/H$363,0)</f>
        <v>0</v>
      </c>
      <c r="H400" s="1159">
        <f>H380+H398</f>
        <v>0</v>
      </c>
      <c r="I400" s="1157" t="s">
        <v>119</v>
      </c>
      <c r="J400" s="1158">
        <f>IFERROR(K400/K$363,0)</f>
        <v>0</v>
      </c>
      <c r="K400" s="1159">
        <f>K380+K398</f>
        <v>0</v>
      </c>
      <c r="L400" s="1157" t="s">
        <v>119</v>
      </c>
      <c r="M400" s="1158">
        <f>IFERROR(N400/N$363,0)</f>
        <v>0</v>
      </c>
      <c r="N400" s="1159">
        <f>N380+N398</f>
        <v>0</v>
      </c>
      <c r="O400" s="1157" t="s">
        <v>119</v>
      </c>
      <c r="P400" s="1158">
        <f>IFERROR(Q400/Q$363,0)</f>
        <v>0</v>
      </c>
      <c r="Q400" s="1159">
        <f>Q380+Q398</f>
        <v>0</v>
      </c>
      <c r="R400" s="1157" t="s">
        <v>119</v>
      </c>
      <c r="S400" s="1158">
        <f>IFERROR(T400/T$363,0)</f>
        <v>0</v>
      </c>
      <c r="T400" s="1159">
        <f>T380+T398</f>
        <v>0</v>
      </c>
      <c r="U400" s="1157" t="s">
        <v>119</v>
      </c>
      <c r="V400" s="1158">
        <f>IFERROR(W400/W$363,0)</f>
        <v>0</v>
      </c>
      <c r="W400" s="1159">
        <f>W380+W398</f>
        <v>0</v>
      </c>
      <c r="X400" s="1157" t="s">
        <v>119</v>
      </c>
      <c r="Y400" s="1158">
        <f>IFERROR(Z400/Z$363,0)</f>
        <v>0</v>
      </c>
      <c r="Z400" s="1159">
        <f>Z380+Z398</f>
        <v>0</v>
      </c>
      <c r="AA400" s="1157" t="s">
        <v>119</v>
      </c>
      <c r="AB400" s="1158">
        <f>IFERROR(AC400/AC$363,0)</f>
        <v>0</v>
      </c>
      <c r="AC400" s="1159">
        <f>AC380+AC398</f>
        <v>0</v>
      </c>
      <c r="AD400" s="1157" t="s">
        <v>119</v>
      </c>
      <c r="AE400" s="1158">
        <f>IFERROR(AF400/AF$363,0)</f>
        <v>0</v>
      </c>
      <c r="AF400" s="1159">
        <f>AF380+AF398</f>
        <v>0</v>
      </c>
      <c r="AG400" s="1157" t="s">
        <v>119</v>
      </c>
      <c r="AH400" s="1158">
        <f>IFERROR(AI400/AI$363,0)</f>
        <v>0</v>
      </c>
      <c r="AI400" s="1159">
        <f>AI380+AI398</f>
        <v>0</v>
      </c>
      <c r="AJ400" s="1157" t="s">
        <v>119</v>
      </c>
      <c r="AK400" s="1158">
        <f>IFERROR(AL400/AL$363,0)</f>
        <v>0</v>
      </c>
      <c r="AL400" s="1159">
        <f>AL380+AL398</f>
        <v>0</v>
      </c>
      <c r="AM400" s="1157" t="s">
        <v>119</v>
      </c>
      <c r="AN400" s="1158">
        <f>IFERROR(AO400/AO$363,0)</f>
        <v>0</v>
      </c>
      <c r="AO400" s="1159">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10"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5"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11"/>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2" t="s">
        <v>3</v>
      </c>
      <c r="C407" s="1285">
        <v>2023</v>
      </c>
      <c r="D407" s="1286"/>
      <c r="E407" s="1287"/>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4"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5"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3"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6" t="s">
        <v>118</v>
      </c>
      <c r="C422" s="1217">
        <f>IFERROR(E422/E410,0)</f>
        <v>0.2036265062421545</v>
      </c>
      <c r="D422" s="1218">
        <f>SUM(D412:D418)</f>
        <v>1541.5845250440068</v>
      </c>
      <c r="E422" s="1219">
        <f>SUM(E412:E418)</f>
        <v>1950764.7723015603</v>
      </c>
      <c r="F422" s="1217">
        <f>IFERROR(H422/H410,0)</f>
        <v>0.22631593754066803</v>
      </c>
      <c r="G422" s="1220"/>
      <c r="H422" s="1219">
        <f>SUM(H412:H418)</f>
        <v>138808.8009291786</v>
      </c>
      <c r="I422" s="1217">
        <f>IFERROR(K422/K410,0)</f>
        <v>0.22374965136599026</v>
      </c>
      <c r="J422" s="1220"/>
      <c r="K422" s="1219">
        <f>SUM(K412:K418)</f>
        <v>138873.77460766333</v>
      </c>
      <c r="L422" s="1217">
        <f>IFERROR(N422/N410,0)</f>
        <v>0.21297350818790425</v>
      </c>
      <c r="M422" s="1220"/>
      <c r="N422" s="1219">
        <f>SUM(N412:N418)</f>
        <v>180349.90196342472</v>
      </c>
      <c r="O422" s="1217">
        <f>IFERROR(Q422/Q410,0)</f>
        <v>0.21868478705834313</v>
      </c>
      <c r="P422" s="1220"/>
      <c r="Q422" s="1219">
        <f>SUM(Q412:Q418)</f>
        <v>196646.94974109344</v>
      </c>
      <c r="R422" s="1217">
        <f>IFERROR(T422/T410,0)</f>
        <v>0.19991917394763947</v>
      </c>
      <c r="S422" s="1220"/>
      <c r="T422" s="1219">
        <f>SUM(T412:T418)</f>
        <v>191373.2902971693</v>
      </c>
      <c r="U422" s="1217">
        <f>IFERROR(W422/W410,0)</f>
        <v>0.20603656905968748</v>
      </c>
      <c r="V422" s="1220"/>
      <c r="W422" s="1219">
        <f>SUM(W412:W418)</f>
        <v>178233.43908084428</v>
      </c>
      <c r="X422" s="1217">
        <f>IFERROR(Z422/Z410,0)</f>
        <v>0.20580748629239648</v>
      </c>
      <c r="Y422" s="1220"/>
      <c r="Z422" s="1219">
        <f>SUM(Z412:Z418)</f>
        <v>168803.14719938132</v>
      </c>
      <c r="AA422" s="1217">
        <f>IFERROR(AC422/AC410,0)</f>
        <v>0.20030756247052295</v>
      </c>
      <c r="AB422" s="1220"/>
      <c r="AC422" s="1219">
        <f>SUM(AC412:AC418)</f>
        <v>159274.80747555231</v>
      </c>
      <c r="AD422" s="1217">
        <f>IFERROR(AF422/AF410,0)</f>
        <v>0.1894655466303988</v>
      </c>
      <c r="AE422" s="1220"/>
      <c r="AF422" s="1219">
        <f>SUM(AF412:AF418)</f>
        <v>157116.49801049809</v>
      </c>
      <c r="AG422" s="1217">
        <f>IFERROR(AI422/AI410,0)</f>
        <v>0.18828726219869024</v>
      </c>
      <c r="AH422" s="1220"/>
      <c r="AI422" s="1219">
        <f>SUM(AI412:AI418)</f>
        <v>156524.61181356822</v>
      </c>
      <c r="AJ422" s="1217">
        <f>IFERROR(AL422/AL410,0)</f>
        <v>0.17925655244571317</v>
      </c>
      <c r="AK422" s="1220"/>
      <c r="AL422" s="1219">
        <f>SUM(AL412:AL418)</f>
        <v>154028.77857608098</v>
      </c>
      <c r="AM422" s="1217">
        <f>IFERROR(AO422/AO410,0)</f>
        <v>0.20345085370334576</v>
      </c>
      <c r="AN422" s="1220"/>
      <c r="AO422" s="1219">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21"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6" t="s">
        <v>128</v>
      </c>
      <c r="C436" s="1217">
        <f>IFERROR(E436/E410,0)</f>
        <v>0.43045737652368465</v>
      </c>
      <c r="D436" s="1222"/>
      <c r="E436" s="1219">
        <f>SUM(E423:E434)</f>
        <v>4123829.95512946</v>
      </c>
      <c r="F436" s="1217">
        <f>IFERROR(H436/H410,0)</f>
        <v>0.50689785033707491</v>
      </c>
      <c r="G436" s="1222"/>
      <c r="H436" s="1219">
        <f>SUM(H423:H434)</f>
        <v>310901.13919274404</v>
      </c>
      <c r="I436" s="1217">
        <f>IFERROR(K436/K410,0)</f>
        <v>0.4698178647576407</v>
      </c>
      <c r="J436" s="1222"/>
      <c r="K436" s="1219">
        <f>SUM(K423:K434)</f>
        <v>291599.91918952094</v>
      </c>
      <c r="L436" s="1217">
        <f>IFERROR(N436/N410,0)</f>
        <v>0.39249961480415063</v>
      </c>
      <c r="M436" s="1222"/>
      <c r="N436" s="1219">
        <f>SUM(N423:N434)</f>
        <v>332375.92624973657</v>
      </c>
      <c r="O436" s="1217">
        <f>IFERROR(Q436/Q410,0)</f>
        <v>0.40026190704474551</v>
      </c>
      <c r="P436" s="1222"/>
      <c r="Q436" s="1219">
        <f>SUM(Q423:Q434)</f>
        <v>359925.73684105009</v>
      </c>
      <c r="R436" s="1217">
        <f>IFERROR(T436/T410,0)</f>
        <v>0.40665427872236815</v>
      </c>
      <c r="S436" s="1222"/>
      <c r="T436" s="1219">
        <f>SUM(T423:T434)</f>
        <v>389271.15291554877</v>
      </c>
      <c r="U436" s="1217">
        <f>IFERROR(W436/W410,0)</f>
        <v>0.36492613634050231</v>
      </c>
      <c r="V436" s="1222"/>
      <c r="W436" s="1219">
        <f>SUM(W423:W434)</f>
        <v>315682.01988264779</v>
      </c>
      <c r="X436" s="1217">
        <f>IFERROR(Z436/Z410,0)</f>
        <v>0.44503407747466273</v>
      </c>
      <c r="Y436" s="1222"/>
      <c r="Z436" s="1219">
        <f>SUM(Z423:Z434)</f>
        <v>365016.61937587045</v>
      </c>
      <c r="AA436" s="1217">
        <f>IFERROR(AC436/AC410,0)</f>
        <v>0.40118312853492538</v>
      </c>
      <c r="AB436" s="1222"/>
      <c r="AC436" s="1219">
        <f>SUM(AC423:AC434)</f>
        <v>319001.2637153588</v>
      </c>
      <c r="AD436" s="1217">
        <f>IFERROR(AF436/AF410,0)</f>
        <v>0.3849258346664261</v>
      </c>
      <c r="AE436" s="1222"/>
      <c r="AF436" s="1219">
        <f>SUM(AF423:AF434)</f>
        <v>319204.20473351341</v>
      </c>
      <c r="AG436" s="1217">
        <f>IFERROR(AI436/AI410,0)</f>
        <v>0.48348754510645198</v>
      </c>
      <c r="AH436" s="1222"/>
      <c r="AI436" s="1219">
        <f>SUM(AI423:AI434)</f>
        <v>401926.81879150972</v>
      </c>
      <c r="AJ436" s="1217">
        <f>IFERROR(AL436/AL410,0)</f>
        <v>0.42994237250608697</v>
      </c>
      <c r="AK436" s="1222"/>
      <c r="AL436" s="1219">
        <f>SUM(AL423:AL434)</f>
        <v>369434.18576160783</v>
      </c>
      <c r="AM436" s="1217">
        <f>IFERROR(AO436/AO410,0)</f>
        <v>0.54389823054615627</v>
      </c>
      <c r="AN436" s="1222"/>
      <c r="AO436" s="1219">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3" t="s">
        <v>129</v>
      </c>
      <c r="C437" s="1223"/>
      <c r="D437" s="1224"/>
      <c r="E437" s="1225">
        <f t="shared" ref="E437:E454" si="109">+SUM(H437,K437,N437,Q437,T437,W437,Z437,AC437,AF437,AI437,AL437,AO437)</f>
        <v>169155.5</v>
      </c>
      <c r="F437" s="1223"/>
      <c r="G437" s="1224"/>
      <c r="H437" s="1225">
        <f t="shared" ref="H437:H454" si="110">+SUMIF($B$4:$B$402,$B437,H$4:H$402)</f>
        <v>23533</v>
      </c>
      <c r="I437" s="1223"/>
      <c r="J437" s="1224"/>
      <c r="K437" s="1225">
        <f t="shared" ref="K437:K454" si="111">+SUMIF($B$4:$B$402,$B437,K$4:K$402)</f>
        <v>7412.5</v>
      </c>
      <c r="L437" s="1223"/>
      <c r="M437" s="1224"/>
      <c r="N437" s="1225">
        <f t="shared" ref="N437:N454" si="112">+SUMIF($B$4:$B$402,$B437,N$4:N$402)</f>
        <v>9895</v>
      </c>
      <c r="O437" s="1223"/>
      <c r="P437" s="1224"/>
      <c r="Q437" s="1225">
        <f t="shared" ref="Q437:Q454" si="113">+SUMIF($B$4:$B$402,$B437,Q$4:Q$402)</f>
        <v>29100</v>
      </c>
      <c r="R437" s="1223"/>
      <c r="S437" s="1224"/>
      <c r="T437" s="1225">
        <f t="shared" ref="T437:T454" si="114">+SUMIF($B$4:$B$402,$B437,T$4:T$402)</f>
        <v>18310</v>
      </c>
      <c r="U437" s="1223"/>
      <c r="V437" s="1224"/>
      <c r="W437" s="1225">
        <f t="shared" ref="W437:W454" si="115">+SUMIF($B$4:$B$402,$B437,W$4:W$402)</f>
        <v>9930</v>
      </c>
      <c r="X437" s="1223"/>
      <c r="Y437" s="1224"/>
      <c r="Z437" s="1225">
        <f t="shared" ref="Z437:Z454" si="116">+SUMIF($B$4:$B$402,$B437,Z$4:Z$402)</f>
        <v>13160</v>
      </c>
      <c r="AA437" s="1223"/>
      <c r="AB437" s="1224"/>
      <c r="AC437" s="1225">
        <f t="shared" ref="AC437:AC454" si="117">+SUMIF($B$4:$B$402,$B437,AC$4:AC$402)</f>
        <v>5740</v>
      </c>
      <c r="AD437" s="1223"/>
      <c r="AE437" s="1224"/>
      <c r="AF437" s="1225">
        <f t="shared" ref="AF437:AF454" si="118">+SUMIF($B$4:$B$402,$B437,AF$4:AF$402)</f>
        <v>7125</v>
      </c>
      <c r="AG437" s="1223"/>
      <c r="AH437" s="1224"/>
      <c r="AI437" s="1225">
        <f t="shared" ref="AI437:AI454" si="119">+SUMIF($B$4:$B$402,$B437,AI$4:AI$402)</f>
        <v>12750</v>
      </c>
      <c r="AJ437" s="1223"/>
      <c r="AK437" s="1224"/>
      <c r="AL437" s="1225">
        <f t="shared" ref="AL437:AL454" si="120">+SUMIF($B$4:$B$402,$B437,AL$4:AL$402)</f>
        <v>21250</v>
      </c>
      <c r="AM437" s="1223"/>
      <c r="AN437" s="1224"/>
      <c r="AO437" s="1225">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3" t="s">
        <v>135</v>
      </c>
      <c r="C444" s="1223"/>
      <c r="D444" s="1224"/>
      <c r="E444" s="1225">
        <f t="shared" si="109"/>
        <v>62040</v>
      </c>
      <c r="F444" s="1223"/>
      <c r="G444" s="1224"/>
      <c r="H444" s="1225">
        <f t="shared" si="110"/>
        <v>5170</v>
      </c>
      <c r="I444" s="1223"/>
      <c r="J444" s="1224"/>
      <c r="K444" s="1225">
        <f t="shared" si="111"/>
        <v>5170</v>
      </c>
      <c r="L444" s="1223"/>
      <c r="M444" s="1224"/>
      <c r="N444" s="1225">
        <f t="shared" si="112"/>
        <v>5170</v>
      </c>
      <c r="O444" s="1223"/>
      <c r="P444" s="1224"/>
      <c r="Q444" s="1225">
        <f t="shared" si="113"/>
        <v>5170</v>
      </c>
      <c r="R444" s="1223"/>
      <c r="S444" s="1224"/>
      <c r="T444" s="1225">
        <f t="shared" si="114"/>
        <v>5170</v>
      </c>
      <c r="U444" s="1223"/>
      <c r="V444" s="1224"/>
      <c r="W444" s="1225">
        <f t="shared" si="115"/>
        <v>5170</v>
      </c>
      <c r="X444" s="1223"/>
      <c r="Y444" s="1224"/>
      <c r="Z444" s="1225">
        <f t="shared" si="116"/>
        <v>5170</v>
      </c>
      <c r="AA444" s="1223"/>
      <c r="AB444" s="1224"/>
      <c r="AC444" s="1225">
        <f t="shared" si="117"/>
        <v>5170</v>
      </c>
      <c r="AD444" s="1223"/>
      <c r="AE444" s="1224"/>
      <c r="AF444" s="1225">
        <f t="shared" si="118"/>
        <v>5170</v>
      </c>
      <c r="AG444" s="1223"/>
      <c r="AH444" s="1224"/>
      <c r="AI444" s="1225">
        <f t="shared" si="119"/>
        <v>5170</v>
      </c>
      <c r="AJ444" s="1223"/>
      <c r="AK444" s="1224"/>
      <c r="AL444" s="1225">
        <f t="shared" si="120"/>
        <v>5170</v>
      </c>
      <c r="AM444" s="1223"/>
      <c r="AN444" s="1224"/>
      <c r="AO444" s="1225">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6" t="s">
        <v>143</v>
      </c>
      <c r="C455" s="1217">
        <f>IFERROR(E455/E410,0)</f>
        <v>0.17093846766648549</v>
      </c>
      <c r="D455" s="1220"/>
      <c r="E455" s="1219">
        <f>+SUM(E437:E454)</f>
        <v>1637609.6958538131</v>
      </c>
      <c r="F455" s="1217">
        <f>IFERROR(H455/H410,0)</f>
        <v>0.24921643766420359</v>
      </c>
      <c r="G455" s="1220"/>
      <c r="H455" s="1219">
        <f>+SUM(H437:H454)</f>
        <v>152854.61227313339</v>
      </c>
      <c r="I455" s="1217">
        <f>IFERROR(K455/K410,0)</f>
        <v>0.19562438325732601</v>
      </c>
      <c r="J455" s="1220"/>
      <c r="K455" s="1219">
        <f>+SUM(K437:K454)</f>
        <v>121417.38028366114</v>
      </c>
      <c r="L455" s="1217">
        <f>IFERROR(N455/N410,0)</f>
        <v>0.15233666207946711</v>
      </c>
      <c r="M455" s="1220"/>
      <c r="N455" s="1219">
        <f>+SUM(N437:N454)</f>
        <v>129001.50025808526</v>
      </c>
      <c r="O455" s="1217">
        <f>IFERROR(Q455/Q410,0)</f>
        <v>0.18201775759832567</v>
      </c>
      <c r="P455" s="1220"/>
      <c r="Q455" s="1219">
        <f>+SUM(Q437:Q454)</f>
        <v>163675.01970256012</v>
      </c>
      <c r="R455" s="1217">
        <f>IFERROR(T455/T410,0)</f>
        <v>0.14849542431701637</v>
      </c>
      <c r="S455" s="1220"/>
      <c r="T455" s="1219">
        <f>+SUM(T437:T454)</f>
        <v>142147.73592984452</v>
      </c>
      <c r="U455" s="1217">
        <f>IFERROR(W455/W410,0)</f>
        <v>0.14664464592191453</v>
      </c>
      <c r="V455" s="1220"/>
      <c r="W455" s="1219">
        <f>+SUM(W437:W454)</f>
        <v>126856.02213597248</v>
      </c>
      <c r="X455" s="1217">
        <f>IFERROR(Z455/Z410,0)</f>
        <v>0.15847494911235285</v>
      </c>
      <c r="Y455" s="1220"/>
      <c r="Z455" s="1219">
        <f>+SUM(Z437:Z454)</f>
        <v>129981.03540519884</v>
      </c>
      <c r="AA455" s="1217">
        <f>IFERROR(AC455/AC410,0)</f>
        <v>0.15103136292350713</v>
      </c>
      <c r="AB455" s="1220"/>
      <c r="AC455" s="1219">
        <f>+SUM(AC437:AC454)</f>
        <v>120092.77610750144</v>
      </c>
      <c r="AD455" s="1217">
        <f>IFERROR(AF455/AF410,0)</f>
        <v>0.14645037178889106</v>
      </c>
      <c r="AE455" s="1220"/>
      <c r="AF455" s="1219">
        <f>+SUM(AF437:AF454)</f>
        <v>121445.66628091212</v>
      </c>
      <c r="AG455" s="1217">
        <f>IFERROR(AI455/AI410,0)</f>
        <v>0.16626720241613949</v>
      </c>
      <c r="AH455" s="1220"/>
      <c r="AI455" s="1219">
        <f>+SUM(AI437:AI454)</f>
        <v>138219.17113039439</v>
      </c>
      <c r="AJ455" s="1217">
        <f>IFERROR(AL455/AL410,0)</f>
        <v>0.17444110827147541</v>
      </c>
      <c r="AK455" s="1220"/>
      <c r="AL455" s="1219">
        <f>+SUM(AL437:AL454)</f>
        <v>149891.03870359418</v>
      </c>
      <c r="AM455" s="1217">
        <f>IFERROR(AO455/AO410,0)</f>
        <v>0.22103184963081532</v>
      </c>
      <c r="AN455" s="1220"/>
      <c r="AO455" s="1219">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6" t="s">
        <v>215</v>
      </c>
      <c r="C469" s="1217">
        <f>IFERROR(E469/E410,0)</f>
        <v>0.14355427707680501</v>
      </c>
      <c r="D469" s="1220"/>
      <c r="E469" s="1219">
        <f>SUM(E456:E468)</f>
        <v>1375266.0780891746</v>
      </c>
      <c r="F469" s="1217">
        <f>IFERROR(H469/H410,0)</f>
        <v>0.1930663561468329</v>
      </c>
      <c r="G469" s="1220"/>
      <c r="H469" s="1219">
        <f>SUM(H456:H468)</f>
        <v>118415.47567409786</v>
      </c>
      <c r="I469" s="1217">
        <f>IFERROR(K469/K410,0)</f>
        <v>0.18409123019937373</v>
      </c>
      <c r="J469" s="1220"/>
      <c r="K469" s="1219">
        <f>SUM(K456:K468)</f>
        <v>114259.14567409786</v>
      </c>
      <c r="L469" s="1217">
        <f>IFERROR(N469/N410,0)</f>
        <v>0.13492755378209431</v>
      </c>
      <c r="M469" s="1220"/>
      <c r="N469" s="1219">
        <f>SUM(N456:N468)</f>
        <v>114259.14567409786</v>
      </c>
      <c r="O469" s="1217">
        <f>IFERROR(Q469/Q410,0)</f>
        <v>0.12706394365183893</v>
      </c>
      <c r="P469" s="1220"/>
      <c r="Q469" s="1219">
        <f>SUM(Q456:Q468)</f>
        <v>114259.14567409786</v>
      </c>
      <c r="R469" s="1217">
        <f>IFERROR(T469/T410,0)</f>
        <v>0.11936145312471813</v>
      </c>
      <c r="S469" s="1220"/>
      <c r="T469" s="1219">
        <f>SUM(T456:T468)</f>
        <v>114259.14567409786</v>
      </c>
      <c r="U469" s="1217">
        <f>IFERROR(W469/W410,0)</f>
        <v>0.13208274765827763</v>
      </c>
      <c r="V469" s="1220"/>
      <c r="W469" s="1219">
        <f>SUM(W456:W468)</f>
        <v>114259.14567409786</v>
      </c>
      <c r="X469" s="1217">
        <f>IFERROR(Z469/Z410,0)</f>
        <v>0.13930657068453647</v>
      </c>
      <c r="Y469" s="1220"/>
      <c r="Z469" s="1219">
        <f>SUM(Z456:Z468)</f>
        <v>114259.14567409786</v>
      </c>
      <c r="AA469" s="1217">
        <f>IFERROR(AC469/AC410,0)</f>
        <v>0.143694858733111</v>
      </c>
      <c r="AB469" s="1220"/>
      <c r="AC469" s="1219">
        <f>SUM(AC456:AC468)</f>
        <v>114259.14567409786</v>
      </c>
      <c r="AD469" s="1217">
        <f>IFERROR(AF469/AF410,0)</f>
        <v>0.13778420323000609</v>
      </c>
      <c r="AE469" s="1220"/>
      <c r="AF469" s="1219">
        <f>SUM(AF456:AF468)</f>
        <v>114259.14567409786</v>
      </c>
      <c r="AG469" s="1217">
        <f>IFERROR(AI469/AI410,0)</f>
        <v>0.13744510509159635</v>
      </c>
      <c r="AH469" s="1220"/>
      <c r="AI469" s="1219">
        <f>SUM(AI456:AI468)</f>
        <v>114259.14567409786</v>
      </c>
      <c r="AJ469" s="1217">
        <f>IFERROR(AL469/AL410,0)</f>
        <v>0.13297320622986419</v>
      </c>
      <c r="AK469" s="1220"/>
      <c r="AL469" s="1219">
        <f>SUM(AL456:AL468)</f>
        <v>114259.14567409786</v>
      </c>
      <c r="AM469" s="1217">
        <f>IFERROR(AO469/AO410,0)</f>
        <v>0.1778167470995782</v>
      </c>
      <c r="AN469" s="1220"/>
      <c r="AO469" s="1219">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6"/>
      <c r="F470" s="849"/>
      <c r="G470" s="845"/>
      <c r="H470" s="1226"/>
      <c r="I470" s="849"/>
      <c r="J470" s="845"/>
      <c r="K470" s="1226"/>
      <c r="L470" s="849"/>
      <c r="M470" s="845"/>
      <c r="N470" s="1226"/>
      <c r="O470" s="849"/>
      <c r="P470" s="845"/>
      <c r="Q470" s="1226"/>
      <c r="R470" s="849"/>
      <c r="S470" s="845"/>
      <c r="T470" s="1226"/>
      <c r="U470" s="849"/>
      <c r="V470" s="845"/>
      <c r="W470" s="1226"/>
      <c r="X470" s="849"/>
      <c r="Y470" s="845"/>
      <c r="Z470" s="1226"/>
      <c r="AA470" s="849"/>
      <c r="AB470" s="845"/>
      <c r="AC470" s="1226"/>
      <c r="AD470" s="849"/>
      <c r="AE470" s="845"/>
      <c r="AF470" s="1226"/>
      <c r="AG470" s="849"/>
      <c r="AH470" s="845"/>
      <c r="AI470" s="1226"/>
      <c r="AJ470" s="849"/>
      <c r="AK470" s="845"/>
      <c r="AL470" s="1226"/>
      <c r="AM470" s="849"/>
      <c r="AN470" s="845"/>
      <c r="AO470" s="122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6" t="s">
        <v>144</v>
      </c>
      <c r="C471" s="1217">
        <f>IFERROR(E471/E410,0)</f>
        <v>0.94857662750912952</v>
      </c>
      <c r="D471" s="1220"/>
      <c r="E471" s="1219">
        <f>E422+E436+E455+E469</f>
        <v>9087470.5013740063</v>
      </c>
      <c r="F471" s="1217">
        <f>IFERROR(H471/H410,0)</f>
        <v>1.1754965816887795</v>
      </c>
      <c r="G471" s="1220"/>
      <c r="H471" s="1219">
        <f>H422+H436+H455+H469</f>
        <v>720980.02806915389</v>
      </c>
      <c r="I471" s="1217">
        <f>IFERROR(K471/K410,0)</f>
        <v>1.0732831295803307</v>
      </c>
      <c r="J471" s="1220"/>
      <c r="K471" s="1219">
        <f>K422+K436+K455+K469</f>
        <v>666150.21975494327</v>
      </c>
      <c r="L471" s="1217">
        <f>IFERROR(N471/N410,0)</f>
        <v>0.89273733885361639</v>
      </c>
      <c r="M471" s="1220"/>
      <c r="N471" s="1219">
        <f>N422+N436+N455+N469</f>
        <v>755986.47414534446</v>
      </c>
      <c r="O471" s="1217">
        <f>IFERROR(Q471/Q410,0)</f>
        <v>0.92802839535325321</v>
      </c>
      <c r="P471" s="1220"/>
      <c r="Q471" s="1219">
        <f>Q422+Q436+Q455+Q469</f>
        <v>834506.8519588015</v>
      </c>
      <c r="R471" s="1217">
        <f>IFERROR(T471/T410,0)</f>
        <v>0.87443033011174198</v>
      </c>
      <c r="S471" s="1220"/>
      <c r="T471" s="1219">
        <f>T422+T436+T455+T469</f>
        <v>837051.32481666037</v>
      </c>
      <c r="U471" s="1217">
        <f>IFERROR(W471/W410,0)</f>
        <v>0.84969009898038195</v>
      </c>
      <c r="V471" s="1220"/>
      <c r="W471" s="1219">
        <f>W422+W436+W455+W469</f>
        <v>735030.6267735624</v>
      </c>
      <c r="X471" s="1217">
        <f>IFERROR(Z471/Z410,0)</f>
        <v>0.94862308356394842</v>
      </c>
      <c r="Y471" s="1220"/>
      <c r="Z471" s="1219">
        <f>Z422+Z436+Z455+Z469</f>
        <v>778059.94765454833</v>
      </c>
      <c r="AA471" s="1217">
        <f>IFERROR(AC471/AC410,0)</f>
        <v>0.89621691266206649</v>
      </c>
      <c r="AB471" s="1220"/>
      <c r="AC471" s="1219">
        <f>AC422+AC436+AC455+AC469</f>
        <v>712627.9929725104</v>
      </c>
      <c r="AD471" s="1217">
        <f>IFERROR(AF471/AF410,0)</f>
        <v>0.85862595631572203</v>
      </c>
      <c r="AE471" s="1220"/>
      <c r="AF471" s="1219">
        <f>AF422+AF436+AF455+AF469</f>
        <v>712025.51469902147</v>
      </c>
      <c r="AG471" s="1217">
        <f>IFERROR(AI471/AI410,0)</f>
        <v>0.97548711481287786</v>
      </c>
      <c r="AH471" s="1220"/>
      <c r="AI471" s="1219">
        <f>AI422+AI436+AI455+AI469</f>
        <v>810929.74740957003</v>
      </c>
      <c r="AJ471" s="1217">
        <f>IFERROR(AL471/AL410,0)</f>
        <v>0.91661323945313966</v>
      </c>
      <c r="AK471" s="1220"/>
      <c r="AL471" s="1219">
        <f>AL422+AL436+AL455+AL469</f>
        <v>787613.14871538081</v>
      </c>
      <c r="AM471" s="1217">
        <f>IFERROR(AO471/AO410,0)</f>
        <v>1.1461976809798955</v>
      </c>
      <c r="AN471" s="1220"/>
      <c r="AO471" s="1219">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7"/>
      <c r="D472" s="1228"/>
      <c r="E472" s="1229">
        <f t="shared" ref="E472:E483" si="124">+SUM(H472,K472,N472,Q472,T472,W472,Z472,AC472,AF472,AI472,AL472,AO472)</f>
        <v>80000</v>
      </c>
      <c r="F472" s="1227"/>
      <c r="G472" s="1228"/>
      <c r="H472" s="1229">
        <f>'[1]Vehicules neuf 2026'!E66</f>
        <v>0</v>
      </c>
      <c r="I472" s="1227"/>
      <c r="J472" s="1228"/>
      <c r="K472" s="1229">
        <f>'[1]Vehicules neuf 2026'!F66</f>
        <v>0</v>
      </c>
      <c r="L472" s="1227"/>
      <c r="M472" s="1228"/>
      <c r="N472" s="1229">
        <f>'[1]Vehicules neuf 2026'!G66</f>
        <v>20000</v>
      </c>
      <c r="O472" s="1227"/>
      <c r="P472" s="1228"/>
      <c r="Q472" s="1229">
        <f>'[1]Vehicules neuf 2026'!H66</f>
        <v>0</v>
      </c>
      <c r="R472" s="1227"/>
      <c r="S472" s="1228"/>
      <c r="T472" s="1229">
        <f>'[1]Vehicules neuf 2026'!I66</f>
        <v>0</v>
      </c>
      <c r="U472" s="1227"/>
      <c r="V472" s="1228"/>
      <c r="W472" s="1229">
        <f>'[1]Vehicules neuf 2026'!J66</f>
        <v>20000</v>
      </c>
      <c r="X472" s="1227"/>
      <c r="Y472" s="1228"/>
      <c r="Z472" s="1229">
        <f>'[1]Vehicules neuf 2026'!K66</f>
        <v>0</v>
      </c>
      <c r="AA472" s="1227"/>
      <c r="AB472" s="1228"/>
      <c r="AC472" s="1229">
        <f>'[1]Vehicules neuf 2026'!L66</f>
        <v>0</v>
      </c>
      <c r="AD472" s="1227"/>
      <c r="AE472" s="1228"/>
      <c r="AF472" s="1229">
        <f>'[1]Vehicules neuf 2026'!M66</f>
        <v>20000</v>
      </c>
      <c r="AG472" s="1227"/>
      <c r="AH472" s="1228"/>
      <c r="AI472" s="1229">
        <f>'[1]Vehicules neuf 2026'!N66</f>
        <v>0</v>
      </c>
      <c r="AJ472" s="1227"/>
      <c r="AK472" s="1228"/>
      <c r="AL472" s="1229">
        <f>'[1]Vehicules neuf 2026'!O66</f>
        <v>0</v>
      </c>
      <c r="AM472" s="1227"/>
      <c r="AN472" s="1228"/>
      <c r="AO472" s="1229">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6" t="s">
        <v>217</v>
      </c>
      <c r="C484" s="1217">
        <f>IFERROR(E484/+E410,0)</f>
        <v>0.18401369103560486</v>
      </c>
      <c r="D484" s="1230"/>
      <c r="E484" s="1219">
        <f>SUM(E472:E483)</f>
        <v>1762871.8024880025</v>
      </c>
      <c r="F484" s="1217">
        <f>IFERROR(H484/+H410,0)</f>
        <v>0.16166933601200112</v>
      </c>
      <c r="G484" s="1230"/>
      <c r="H484" s="1219">
        <f>SUM(H472:H483)</f>
        <v>99158.401846134992</v>
      </c>
      <c r="I484" s="1217">
        <f>IFERROR(K484/+K410,0)</f>
        <v>0.17148599515683247</v>
      </c>
      <c r="J484" s="1230"/>
      <c r="K484" s="1219">
        <f>SUM(K472:K483)</f>
        <v>106435.50635449456</v>
      </c>
      <c r="L484" s="1217">
        <f>IFERROR(N484/+N410,0)</f>
        <v>0.2502589268201898</v>
      </c>
      <c r="M484" s="1230"/>
      <c r="N484" s="1219">
        <f>SUM(N472:N483)</f>
        <v>211923.88340465195</v>
      </c>
      <c r="O484" s="1217">
        <f>IFERROR(Q484/+Q410,0)</f>
        <v>0.17956844549490231</v>
      </c>
      <c r="P484" s="1230"/>
      <c r="Q484" s="1219">
        <f>SUM(Q472:Q483)</f>
        <v>161472.53565883171</v>
      </c>
      <c r="R484" s="1217">
        <f>IFERROR(T484/+T410,0)</f>
        <v>0.17533547588475507</v>
      </c>
      <c r="S484" s="1230"/>
      <c r="T484" s="1219">
        <f>SUM(T472:T483)</f>
        <v>167840.46404010139</v>
      </c>
      <c r="U484" s="1217">
        <f>IFERROR(W484/+W410,0)</f>
        <v>0.23972533833242782</v>
      </c>
      <c r="V484" s="1230"/>
      <c r="W484" s="1219">
        <f>SUM(W472:W483)</f>
        <v>207376.15502338228</v>
      </c>
      <c r="X484" s="1217">
        <f>IFERROR(Z484/+Z410,0)</f>
        <v>0.1669251038133861</v>
      </c>
      <c r="Y484" s="1230"/>
      <c r="Z484" s="1219">
        <f>SUM(Z472:Z483)</f>
        <v>136911.84600666314</v>
      </c>
      <c r="AA484" s="1217">
        <f>IFERROR(AC484/+AC410,0)</f>
        <v>0.157883346339143</v>
      </c>
      <c r="AB484" s="1230"/>
      <c r="AC484" s="1219">
        <f>SUM(AC472:AC483)</f>
        <v>125541.1392441238</v>
      </c>
      <c r="AD484" s="1217">
        <f>IFERROR(AF484/+AF410,0)</f>
        <v>0.21332543538579832</v>
      </c>
      <c r="AE484" s="1230"/>
      <c r="AF484" s="1219">
        <f>SUM(AF472:AF483)</f>
        <v>176902.58698994401</v>
      </c>
      <c r="AG484" s="1217">
        <f>IFERROR(AI484/+AI410,0)</f>
        <v>0.1439037443279895</v>
      </c>
      <c r="AH484" s="1230"/>
      <c r="AI484" s="1219">
        <f>SUM(AI472:AI483)</f>
        <v>119628.26086285411</v>
      </c>
      <c r="AJ484" s="1217">
        <f>IFERROR(AL484/+AL410,0)</f>
        <v>0.12228264645924031</v>
      </c>
      <c r="AK484" s="1230"/>
      <c r="AL484" s="1219">
        <f>SUM(AL472:AL483)</f>
        <v>105073.12797322488</v>
      </c>
      <c r="AM484" s="1217">
        <f>IFERROR(AO484/+AO410,0)</f>
        <v>0.22504724113748797</v>
      </c>
      <c r="AN484" s="1230"/>
      <c r="AO484" s="1219">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31"/>
      <c r="C485" s="1231"/>
      <c r="D485" s="1232"/>
      <c r="E485" s="1229"/>
      <c r="F485" s="1231"/>
      <c r="G485" s="1232"/>
      <c r="H485" s="1229"/>
      <c r="I485" s="1231"/>
      <c r="J485" s="1232"/>
      <c r="K485" s="1229"/>
      <c r="L485" s="1231"/>
      <c r="M485" s="1232"/>
      <c r="N485" s="1229"/>
      <c r="O485" s="1231"/>
      <c r="P485" s="1232"/>
      <c r="Q485" s="1229"/>
      <c r="R485" s="1231"/>
      <c r="S485" s="1232"/>
      <c r="T485" s="1229"/>
      <c r="U485" s="1231"/>
      <c r="V485" s="1232"/>
      <c r="W485" s="1229"/>
      <c r="X485" s="1231"/>
      <c r="Y485" s="1232"/>
      <c r="Z485" s="1229"/>
      <c r="AA485" s="1231"/>
      <c r="AB485" s="1232"/>
      <c r="AC485" s="1229"/>
      <c r="AD485" s="1231"/>
      <c r="AE485" s="1232"/>
      <c r="AF485" s="1229"/>
      <c r="AG485" s="1231"/>
      <c r="AH485" s="1232"/>
      <c r="AI485" s="1229"/>
      <c r="AJ485" s="1231"/>
      <c r="AK485" s="1232"/>
      <c r="AL485" s="1229"/>
      <c r="AM485" s="1231"/>
      <c r="AN485" s="1232"/>
      <c r="AO485" s="1229"/>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3"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5"/>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5"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5"/>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5"/>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5"/>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4"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5"/>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6"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6"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6"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6"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7"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6"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8"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9"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146">
        <v>638</v>
      </c>
      <c r="D16" s="1147">
        <v>2186.191598746077</v>
      </c>
      <c r="E16" s="1148">
        <v>1394790.2399999972</v>
      </c>
      <c r="F16" s="1146">
        <v>48</v>
      </c>
      <c r="G16" s="1147">
        <v>2369.9124999999772</v>
      </c>
      <c r="H16" s="1148">
        <v>113755.79999999891</v>
      </c>
      <c r="I16" s="1146">
        <v>30</v>
      </c>
      <c r="J16" s="1147">
        <v>2410.9103333333301</v>
      </c>
      <c r="K16" s="1148">
        <v>72327.309999999896</v>
      </c>
      <c r="L16" s="1146">
        <v>51</v>
      </c>
      <c r="M16" s="1147">
        <v>2104.7599999999984</v>
      </c>
      <c r="N16" s="1148">
        <v>107342.75999999991</v>
      </c>
      <c r="O16" s="1146">
        <v>56</v>
      </c>
      <c r="P16" s="1147">
        <v>2343.2046428571443</v>
      </c>
      <c r="Q16" s="1148">
        <v>131219.46000000008</v>
      </c>
      <c r="R16" s="1146">
        <v>52</v>
      </c>
      <c r="S16" s="1147">
        <v>2291.0755769230786</v>
      </c>
      <c r="T16" s="1148">
        <v>119135.93000000009</v>
      </c>
      <c r="U16" s="1146">
        <v>41</v>
      </c>
      <c r="V16" s="1147">
        <v>2033.4882926829293</v>
      </c>
      <c r="W16" s="1148">
        <v>83373.020000000106</v>
      </c>
      <c r="X16" s="1146">
        <v>76</v>
      </c>
      <c r="Y16" s="1147">
        <v>2212.6460526315786</v>
      </c>
      <c r="Z16" s="1148">
        <v>168161.09999999998</v>
      </c>
      <c r="AA16" s="1146">
        <v>64</v>
      </c>
      <c r="AB16" s="1147">
        <v>2298.4915624999985</v>
      </c>
      <c r="AC16" s="1148">
        <v>147103.4599999999</v>
      </c>
      <c r="AD16" s="1146">
        <v>63</v>
      </c>
      <c r="AE16" s="1147">
        <v>2419.8193650793651</v>
      </c>
      <c r="AF16" s="1148">
        <v>152448.62</v>
      </c>
      <c r="AG16" s="1146">
        <v>48</v>
      </c>
      <c r="AH16" s="1147">
        <v>2185.0231249999938</v>
      </c>
      <c r="AI16" s="1148">
        <v>104881.10999999969</v>
      </c>
      <c r="AJ16" s="1146">
        <v>70</v>
      </c>
      <c r="AK16" s="1147">
        <v>1811.2078571428417</v>
      </c>
      <c r="AL16" s="1148">
        <v>126784.54999999891</v>
      </c>
      <c r="AM16" s="1146">
        <v>39</v>
      </c>
      <c r="AN16" s="1147">
        <v>1750.1825641025614</v>
      </c>
      <c r="AO16" s="1148">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50"/>
      <c r="D21" s="1151"/>
      <c r="E21" s="1152"/>
      <c r="F21" s="1150"/>
      <c r="G21" s="1151"/>
      <c r="H21" s="1152"/>
      <c r="I21" s="1150"/>
      <c r="J21" s="1151"/>
      <c r="K21" s="1152"/>
      <c r="L21" s="1150"/>
      <c r="M21" s="1151"/>
      <c r="N21" s="1152"/>
      <c r="O21" s="1150"/>
      <c r="P21" s="1151"/>
      <c r="Q21" s="1152"/>
      <c r="R21" s="1150"/>
      <c r="S21" s="1151"/>
      <c r="T21" s="1152"/>
      <c r="U21" s="1150"/>
      <c r="V21" s="1151"/>
      <c r="W21" s="1152"/>
      <c r="X21" s="1150"/>
      <c r="Y21" s="1151"/>
      <c r="Z21" s="1152"/>
      <c r="AA21" s="1150"/>
      <c r="AB21" s="1151"/>
      <c r="AC21" s="1152"/>
      <c r="AD21" s="1150"/>
      <c r="AE21" s="1151"/>
      <c r="AF21" s="1152"/>
      <c r="AG21" s="1150"/>
      <c r="AH21" s="1151"/>
      <c r="AI21" s="1152"/>
      <c r="AJ21" s="1150"/>
      <c r="AK21" s="1151"/>
      <c r="AL21" s="1152"/>
      <c r="AM21" s="1150"/>
      <c r="AN21" s="1151"/>
      <c r="AO21" s="115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50"/>
      <c r="D23" s="1151"/>
      <c r="E23" s="1152"/>
      <c r="F23" s="1150"/>
      <c r="G23" s="1151"/>
      <c r="H23" s="1152"/>
      <c r="I23" s="1150"/>
      <c r="J23" s="1151"/>
      <c r="K23" s="1152"/>
      <c r="L23" s="1150"/>
      <c r="M23" s="1151"/>
      <c r="N23" s="1152"/>
      <c r="O23" s="1150"/>
      <c r="P23" s="1151"/>
      <c r="Q23" s="1152"/>
      <c r="R23" s="1150"/>
      <c r="S23" s="1151"/>
      <c r="T23" s="1152"/>
      <c r="U23" s="1150"/>
      <c r="V23" s="1151"/>
      <c r="W23" s="1152"/>
      <c r="X23" s="1150"/>
      <c r="Y23" s="1151"/>
      <c r="Z23" s="1152"/>
      <c r="AA23" s="1150"/>
      <c r="AB23" s="1151"/>
      <c r="AC23" s="1152"/>
      <c r="AD23" s="1150"/>
      <c r="AE23" s="1151"/>
      <c r="AF23" s="1152"/>
      <c r="AG23" s="1150"/>
      <c r="AH23" s="1151"/>
      <c r="AI23" s="1152"/>
      <c r="AJ23" s="1150"/>
      <c r="AK23" s="1151"/>
      <c r="AL23" s="1152"/>
      <c r="AM23" s="1150"/>
      <c r="AN23" s="1151"/>
      <c r="AO23" s="115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6">
        <v>676</v>
      </c>
      <c r="D27" s="1147">
        <v>976.73107988165691</v>
      </c>
      <c r="E27" s="1148">
        <v>660270.21000000008</v>
      </c>
      <c r="F27" s="1146">
        <v>50</v>
      </c>
      <c r="G27" s="1147">
        <v>1179.3872000000001</v>
      </c>
      <c r="H27" s="1148">
        <v>58969.36</v>
      </c>
      <c r="I27" s="1146">
        <v>32</v>
      </c>
      <c r="J27" s="1147">
        <v>1017.3437499999999</v>
      </c>
      <c r="K27" s="1148">
        <v>32554.999999999996</v>
      </c>
      <c r="L27" s="1146">
        <v>55</v>
      </c>
      <c r="M27" s="1147">
        <v>611.78181818181815</v>
      </c>
      <c r="N27" s="1148">
        <v>33648</v>
      </c>
      <c r="O27" s="1146">
        <v>58</v>
      </c>
      <c r="P27" s="1147">
        <v>931.86034482758623</v>
      </c>
      <c r="Q27" s="1148">
        <v>54047.9</v>
      </c>
      <c r="R27" s="1146">
        <v>57</v>
      </c>
      <c r="S27" s="1147">
        <v>1106.1754385964912</v>
      </c>
      <c r="T27" s="1148">
        <v>63052</v>
      </c>
      <c r="U27" s="1146">
        <v>47</v>
      </c>
      <c r="V27" s="1147">
        <v>1037.5274468085106</v>
      </c>
      <c r="W27" s="1148">
        <v>48763.79</v>
      </c>
      <c r="X27" s="1146">
        <v>81</v>
      </c>
      <c r="Y27" s="1147">
        <v>995.12987654320978</v>
      </c>
      <c r="Z27" s="1148">
        <v>80605.51999999999</v>
      </c>
      <c r="AA27" s="1146">
        <v>67</v>
      </c>
      <c r="AB27" s="1147">
        <v>971.48358208955221</v>
      </c>
      <c r="AC27" s="1148">
        <v>65089.4</v>
      </c>
      <c r="AD27" s="1146">
        <v>64</v>
      </c>
      <c r="AE27" s="1147">
        <v>952.71765625</v>
      </c>
      <c r="AF27" s="1148">
        <v>60973.93</v>
      </c>
      <c r="AG27" s="1146">
        <v>51</v>
      </c>
      <c r="AH27" s="1147">
        <v>1006.3723529411765</v>
      </c>
      <c r="AI27" s="1148">
        <v>51324.99</v>
      </c>
      <c r="AJ27" s="1146">
        <v>72</v>
      </c>
      <c r="AK27" s="1147">
        <v>1009.0373611111112</v>
      </c>
      <c r="AL27" s="1148">
        <v>72650.69</v>
      </c>
      <c r="AM27" s="1146">
        <v>42</v>
      </c>
      <c r="AN27" s="1147">
        <v>918.80071428571443</v>
      </c>
      <c r="AO27" s="1148">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40">
        <v>146077.48000000013</v>
      </c>
      <c r="X30" s="753">
        <v>81</v>
      </c>
      <c r="Y30" s="754">
        <v>3311.6235802469114</v>
      </c>
      <c r="Z30" s="1240">
        <v>268241.50999999983</v>
      </c>
      <c r="AA30" s="753">
        <v>69</v>
      </c>
      <c r="AB30" s="754">
        <v>3279.636231884057</v>
      </c>
      <c r="AC30" s="1240">
        <v>226294.89999999994</v>
      </c>
      <c r="AD30" s="753">
        <v>67</v>
      </c>
      <c r="AE30" s="754">
        <v>3405.2368656716399</v>
      </c>
      <c r="AF30" s="1240">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41"/>
      <c r="X31" s="756"/>
      <c r="Y31" s="757"/>
      <c r="Z31" s="1241"/>
      <c r="AA31" s="756"/>
      <c r="AB31" s="757"/>
      <c r="AC31" s="1241"/>
      <c r="AD31" s="756"/>
      <c r="AE31" s="757"/>
      <c r="AF31" s="1241"/>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2">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3">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2">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2">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3">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2">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2">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7" t="s">
        <v>119</v>
      </c>
      <c r="D44" s="1158">
        <v>0.46118286903175254</v>
      </c>
      <c r="E44" s="1159">
        <v>1045878.0000000001</v>
      </c>
      <c r="F44" s="1157" t="s">
        <v>119</v>
      </c>
      <c r="G44" s="1158">
        <v>0.54100641962844365</v>
      </c>
      <c r="H44" s="1159">
        <v>103225.28</v>
      </c>
      <c r="I44" s="1157" t="s">
        <v>119</v>
      </c>
      <c r="J44" s="1158">
        <v>0.30173974266183945</v>
      </c>
      <c r="K44" s="1159">
        <v>41039.9</v>
      </c>
      <c r="L44" s="1157" t="s">
        <v>119</v>
      </c>
      <c r="M44" s="1158">
        <v>0.60635162107466578</v>
      </c>
      <c r="N44" s="1159">
        <v>94272.299999999988</v>
      </c>
      <c r="O44" s="1157" t="s">
        <v>119</v>
      </c>
      <c r="P44" s="1158">
        <v>0.40906370188517294</v>
      </c>
      <c r="Q44" s="1159">
        <v>78606.359999999986</v>
      </c>
      <c r="R44" s="1157" t="s">
        <v>119</v>
      </c>
      <c r="S44" s="1158">
        <v>0.50466560779350478</v>
      </c>
      <c r="T44" s="1159">
        <v>102969.2</v>
      </c>
      <c r="U44" s="1157" t="s">
        <v>119</v>
      </c>
      <c r="V44" s="1158">
        <v>0.53176293840775413</v>
      </c>
      <c r="W44" s="1244">
        <v>77678.59</v>
      </c>
      <c r="X44" s="1157" t="s">
        <v>119</v>
      </c>
      <c r="Y44" s="1158">
        <v>0.4135950845191711</v>
      </c>
      <c r="Z44" s="1244">
        <v>110943.37000000001</v>
      </c>
      <c r="AA44" s="1157" t="s">
        <v>119</v>
      </c>
      <c r="AB44" s="1158">
        <v>0.35593515364243739</v>
      </c>
      <c r="AC44" s="1244">
        <v>80546.309999999983</v>
      </c>
      <c r="AD44" s="1157" t="s">
        <v>119</v>
      </c>
      <c r="AE44" s="1158">
        <v>0.37269912667876326</v>
      </c>
      <c r="AF44" s="1244">
        <v>85031.63</v>
      </c>
      <c r="AG44" s="1157" t="s">
        <v>119</v>
      </c>
      <c r="AH44" s="1158">
        <v>0.57013673585780211</v>
      </c>
      <c r="AI44" s="1159">
        <v>100297.31999999999</v>
      </c>
      <c r="AJ44" s="1157" t="s">
        <v>119</v>
      </c>
      <c r="AK44" s="1158">
        <v>0.43882646848791501</v>
      </c>
      <c r="AL44" s="1159">
        <v>97608.54</v>
      </c>
      <c r="AM44" s="1157" t="s">
        <v>119</v>
      </c>
      <c r="AN44" s="1158">
        <v>0.60268414180560792</v>
      </c>
      <c r="AO44" s="1159">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2">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2">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4"/>
      <c r="D47" s="1162"/>
      <c r="E47" s="1164">
        <v>16771.800000000003</v>
      </c>
      <c r="F47" s="1144"/>
      <c r="G47" s="1162"/>
      <c r="H47" s="1164">
        <v>1613</v>
      </c>
      <c r="I47" s="1144"/>
      <c r="J47" s="1162"/>
      <c r="K47" s="1164">
        <v>2451</v>
      </c>
      <c r="L47" s="1144"/>
      <c r="M47" s="1162"/>
      <c r="N47" s="1164">
        <v>-312</v>
      </c>
      <c r="O47" s="1144"/>
      <c r="P47" s="1162"/>
      <c r="Q47" s="1164">
        <v>1208.75</v>
      </c>
      <c r="R47" s="1144"/>
      <c r="S47" s="1162"/>
      <c r="T47" s="1164">
        <v>2903.5</v>
      </c>
      <c r="U47" s="1144"/>
      <c r="V47" s="1162"/>
      <c r="W47" s="1164">
        <v>1819.6</v>
      </c>
      <c r="X47" s="1144"/>
      <c r="Y47" s="1162"/>
      <c r="Z47" s="1164">
        <v>1963.25</v>
      </c>
      <c r="AA47" s="1144"/>
      <c r="AB47" s="1162"/>
      <c r="AC47" s="1164">
        <v>1579.5</v>
      </c>
      <c r="AD47" s="1144"/>
      <c r="AE47" s="1162"/>
      <c r="AF47" s="1164">
        <v>11.25</v>
      </c>
      <c r="AG47" s="1144"/>
      <c r="AH47" s="1162"/>
      <c r="AI47" s="1164">
        <v>930.2</v>
      </c>
      <c r="AJ47" s="1144"/>
      <c r="AK47" s="1162"/>
      <c r="AL47" s="1164">
        <v>1451.6</v>
      </c>
      <c r="AM47" s="1144"/>
      <c r="AN47" s="1162"/>
      <c r="AO47" s="1245">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2">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2"/>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2"/>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2"/>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2">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4"/>
      <c r="D53" s="1162"/>
      <c r="E53" s="1164">
        <v>170955.68</v>
      </c>
      <c r="F53" s="1144"/>
      <c r="G53" s="1162"/>
      <c r="H53" s="1164">
        <v>14203.83</v>
      </c>
      <c r="I53" s="1144"/>
      <c r="J53" s="1162"/>
      <c r="K53" s="1164">
        <v>12821.25</v>
      </c>
      <c r="L53" s="1144"/>
      <c r="M53" s="1162"/>
      <c r="N53" s="1164">
        <v>14654.31</v>
      </c>
      <c r="O53" s="1144"/>
      <c r="P53" s="1162"/>
      <c r="Q53" s="1164">
        <v>15510.75</v>
      </c>
      <c r="R53" s="1144"/>
      <c r="S53" s="1162"/>
      <c r="T53" s="1164">
        <v>17960</v>
      </c>
      <c r="U53" s="1144"/>
      <c r="V53" s="1162"/>
      <c r="W53" s="1164">
        <v>13743.57</v>
      </c>
      <c r="X53" s="1144"/>
      <c r="Y53" s="1162"/>
      <c r="Z53" s="1164">
        <v>13752.02</v>
      </c>
      <c r="AA53" s="1144"/>
      <c r="AB53" s="1162"/>
      <c r="AC53" s="1164">
        <v>13852.73</v>
      </c>
      <c r="AD53" s="1144"/>
      <c r="AE53" s="1162"/>
      <c r="AF53" s="1164">
        <v>12339.01</v>
      </c>
      <c r="AG53" s="1144"/>
      <c r="AH53" s="1162"/>
      <c r="AI53" s="1164">
        <v>15758.45</v>
      </c>
      <c r="AJ53" s="1144"/>
      <c r="AK53" s="1162"/>
      <c r="AL53" s="1164">
        <v>15446.59</v>
      </c>
      <c r="AM53" s="1144"/>
      <c r="AN53" s="1162"/>
      <c r="AO53" s="1245">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2">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2">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7" t="s">
        <v>119</v>
      </c>
      <c r="D57" s="1158">
        <v>0.37761157844076526</v>
      </c>
      <c r="E57" s="1159">
        <v>856353.67000000016</v>
      </c>
      <c r="F57" s="1157" t="s">
        <v>119</v>
      </c>
      <c r="G57" s="1158">
        <v>1.26360057986615</v>
      </c>
      <c r="H57" s="1159">
        <v>73942.559999999998</v>
      </c>
      <c r="I57" s="1157" t="s">
        <v>119</v>
      </c>
      <c r="J57" s="1158">
        <v>1.26360057986615</v>
      </c>
      <c r="K57" s="1159">
        <v>64380.290000000008</v>
      </c>
      <c r="L57" s="1157" t="s">
        <v>119</v>
      </c>
      <c r="M57" s="1158">
        <v>1.26360057986615</v>
      </c>
      <c r="N57" s="1159">
        <v>72870.87</v>
      </c>
      <c r="O57" s="1157" t="s">
        <v>119</v>
      </c>
      <c r="P57" s="1158">
        <v>1.26360057986615</v>
      </c>
      <c r="Q57" s="1159">
        <v>76005.72</v>
      </c>
      <c r="R57" s="1157" t="s">
        <v>119</v>
      </c>
      <c r="S57" s="1158">
        <v>1.26360057986615</v>
      </c>
      <c r="T57" s="1159">
        <v>80334.38</v>
      </c>
      <c r="U57" s="1157" t="s">
        <v>119</v>
      </c>
      <c r="V57" s="1158">
        <v>1.26360057986615</v>
      </c>
      <c r="W57" s="1244">
        <v>65524.92</v>
      </c>
      <c r="X57" s="1157" t="s">
        <v>119</v>
      </c>
      <c r="Y57" s="1158">
        <v>1.26360057986615</v>
      </c>
      <c r="Z57" s="1244">
        <v>70018.900000000009</v>
      </c>
      <c r="AA57" s="1157" t="s">
        <v>119</v>
      </c>
      <c r="AB57" s="1158">
        <v>1.26360057986615</v>
      </c>
      <c r="AC57" s="1244">
        <v>70196.53</v>
      </c>
      <c r="AD57" s="1157" t="s">
        <v>119</v>
      </c>
      <c r="AE57" s="1158">
        <v>1.26360057986615</v>
      </c>
      <c r="AF57" s="1244">
        <v>68110.359999999986</v>
      </c>
      <c r="AG57" s="1157" t="s">
        <v>119</v>
      </c>
      <c r="AH57" s="1158">
        <v>1.26360057986615</v>
      </c>
      <c r="AI57" s="1159">
        <v>82094.460000000006</v>
      </c>
      <c r="AJ57" s="1157" t="s">
        <v>119</v>
      </c>
      <c r="AK57" s="1158">
        <v>1.26360057986615</v>
      </c>
      <c r="AL57" s="1159">
        <v>69053.62</v>
      </c>
      <c r="AM57" s="1157" t="s">
        <v>119</v>
      </c>
      <c r="AN57" s="1158">
        <v>1.26360057986615</v>
      </c>
      <c r="AO57" s="1159">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2">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2">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6">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2">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2">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6">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2">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2">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2">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2">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2">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2">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2">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2">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7" t="s">
        <v>119</v>
      </c>
      <c r="D75" s="1158">
        <v>0.1734804359633656</v>
      </c>
      <c r="E75" s="1159">
        <v>393421.75</v>
      </c>
      <c r="F75" s="1157" t="s">
        <v>119</v>
      </c>
      <c r="G75" s="1158">
        <v>0.17775480927066395</v>
      </c>
      <c r="H75" s="1159">
        <v>33916.03</v>
      </c>
      <c r="I75" s="1157" t="s">
        <v>119</v>
      </c>
      <c r="J75" s="1158">
        <v>0.22450388542331767</v>
      </c>
      <c r="K75" s="1159">
        <v>30534.980000000003</v>
      </c>
      <c r="L75" s="1157" t="s">
        <v>119</v>
      </c>
      <c r="M75" s="1158">
        <v>0.23457150310815983</v>
      </c>
      <c r="N75" s="1159">
        <v>36469.919999999998</v>
      </c>
      <c r="O75" s="1157" t="s">
        <v>119</v>
      </c>
      <c r="P75" s="1158">
        <v>0.16496079394817884</v>
      </c>
      <c r="Q75" s="1159">
        <v>31699.140000000007</v>
      </c>
      <c r="R75" s="1157" t="s">
        <v>119</v>
      </c>
      <c r="S75" s="1158">
        <v>0.18669008492729969</v>
      </c>
      <c r="T75" s="1159">
        <v>38091.22</v>
      </c>
      <c r="U75" s="1157" t="s">
        <v>119</v>
      </c>
      <c r="V75" s="1158">
        <v>0.21780215540410455</v>
      </c>
      <c r="W75" s="1244">
        <v>31815.99</v>
      </c>
      <c r="X75" s="1157" t="s">
        <v>119</v>
      </c>
      <c r="Y75" s="1158">
        <v>0.11927341148653696</v>
      </c>
      <c r="Z75" s="1244">
        <v>31994.079999999998</v>
      </c>
      <c r="AA75" s="1157" t="s">
        <v>119</v>
      </c>
      <c r="AB75" s="1158">
        <v>0.13010257853800511</v>
      </c>
      <c r="AC75" s="1244">
        <v>29441.550000000007</v>
      </c>
      <c r="AD75" s="1157" t="s">
        <v>119</v>
      </c>
      <c r="AE75" s="1158">
        <v>0.15220187413705688</v>
      </c>
      <c r="AF75" s="1244">
        <v>34724.990000000005</v>
      </c>
      <c r="AG75" s="1157" t="s">
        <v>119</v>
      </c>
      <c r="AH75" s="1158">
        <v>0.17682504480354266</v>
      </c>
      <c r="AI75" s="1159">
        <v>31106.710000000006</v>
      </c>
      <c r="AJ75" s="1157" t="s">
        <v>119</v>
      </c>
      <c r="AK75" s="1158">
        <v>0.16643348557241514</v>
      </c>
      <c r="AL75" s="1159">
        <v>37019.94</v>
      </c>
      <c r="AM75" s="1157" t="s">
        <v>119</v>
      </c>
      <c r="AN75" s="1158">
        <v>0.21770176023972801</v>
      </c>
      <c r="AO75" s="1159">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7" t="s">
        <v>119</v>
      </c>
      <c r="D77" s="1158">
        <v>1.0122748834358835</v>
      </c>
      <c r="E77" s="1167">
        <v>2295653.4200000004</v>
      </c>
      <c r="F77" s="1157" t="s">
        <v>119</v>
      </c>
      <c r="G77" s="1158">
        <v>1.1062961393760893</v>
      </c>
      <c r="H77" s="1167">
        <v>211083.87</v>
      </c>
      <c r="I77" s="1157" t="s">
        <v>119</v>
      </c>
      <c r="J77" s="1158">
        <v>0.99959010644145418</v>
      </c>
      <c r="K77" s="1167">
        <v>135955.17000000001</v>
      </c>
      <c r="L77" s="1157" t="s">
        <v>119</v>
      </c>
      <c r="M77" s="1158">
        <v>1.3096225210748205</v>
      </c>
      <c r="N77" s="1167">
        <v>203613.08999999997</v>
      </c>
      <c r="O77" s="1157" t="s">
        <v>119</v>
      </c>
      <c r="P77" s="1158">
        <v>0.96955459273197342</v>
      </c>
      <c r="Q77" s="1167">
        <v>186311.22</v>
      </c>
      <c r="R77" s="1157" t="s">
        <v>119</v>
      </c>
      <c r="S77" s="1158">
        <v>1.0850850672271073</v>
      </c>
      <c r="T77" s="1167">
        <v>221394.80000000002</v>
      </c>
      <c r="U77" s="1157" t="s">
        <v>119</v>
      </c>
      <c r="V77" s="1158">
        <v>1.19812787022339</v>
      </c>
      <c r="W77" s="1247">
        <v>175019.5</v>
      </c>
      <c r="X77" s="1157" t="s">
        <v>119</v>
      </c>
      <c r="Y77" s="1158">
        <v>0.79389781991609032</v>
      </c>
      <c r="Z77" s="1247">
        <v>212956.35</v>
      </c>
      <c r="AA77" s="1157" t="s">
        <v>119</v>
      </c>
      <c r="AB77" s="1158">
        <v>0.79623707825496748</v>
      </c>
      <c r="AC77" s="1247">
        <v>180184.38999999998</v>
      </c>
      <c r="AD77" s="1157" t="s">
        <v>119</v>
      </c>
      <c r="AE77" s="1158">
        <v>0.82343310810079351</v>
      </c>
      <c r="AF77" s="1247">
        <v>187866.97999999998</v>
      </c>
      <c r="AG77" s="1157" t="s">
        <v>119</v>
      </c>
      <c r="AH77" s="1158">
        <v>1.2136249722242789</v>
      </c>
      <c r="AI77" s="1167">
        <v>213498.49</v>
      </c>
      <c r="AJ77" s="1157" t="s">
        <v>119</v>
      </c>
      <c r="AK77" s="1158">
        <v>0.91570979995400348</v>
      </c>
      <c r="AL77" s="1167">
        <v>203682.09999999998</v>
      </c>
      <c r="AM77" s="1157" t="s">
        <v>119</v>
      </c>
      <c r="AN77" s="1158">
        <v>1.3425737723347799</v>
      </c>
      <c r="AO77" s="1167">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9"/>
      <c r="E86" s="777">
        <v>1297372.6000000001</v>
      </c>
      <c r="F86" s="776"/>
      <c r="G86" s="1169"/>
      <c r="H86" s="777">
        <v>107111</v>
      </c>
      <c r="I86" s="776"/>
      <c r="J86" s="1169"/>
      <c r="K86" s="777">
        <v>63571</v>
      </c>
      <c r="L86" s="776"/>
      <c r="M86" s="1169"/>
      <c r="N86" s="777">
        <v>93446</v>
      </c>
      <c r="O86" s="776"/>
      <c r="P86" s="1169"/>
      <c r="Q86" s="777">
        <v>101996</v>
      </c>
      <c r="R86" s="776"/>
      <c r="S86" s="1169"/>
      <c r="T86" s="777">
        <v>96025</v>
      </c>
      <c r="U86" s="776"/>
      <c r="V86" s="1169"/>
      <c r="W86" s="1248">
        <v>96561.55</v>
      </c>
      <c r="X86" s="776"/>
      <c r="Y86" s="1169"/>
      <c r="Z86" s="1248">
        <v>134474.85</v>
      </c>
      <c r="AA86" s="776"/>
      <c r="AB86" s="1169"/>
      <c r="AC86" s="1248">
        <v>133123.20000000001</v>
      </c>
      <c r="AD86" s="776"/>
      <c r="AE86" s="1169"/>
      <c r="AF86" s="1248">
        <v>109155</v>
      </c>
      <c r="AG86" s="776"/>
      <c r="AH86" s="1169"/>
      <c r="AI86" s="777">
        <v>145056</v>
      </c>
      <c r="AJ86" s="776"/>
      <c r="AK86" s="1169"/>
      <c r="AL86" s="777">
        <v>127077</v>
      </c>
      <c r="AM86" s="776"/>
      <c r="AN86" s="1169"/>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9"/>
      <c r="X87" s="778"/>
      <c r="Y87" s="779"/>
      <c r="Z87" s="1249"/>
      <c r="AA87" s="778"/>
      <c r="AB87" s="779"/>
      <c r="AC87" s="1249"/>
      <c r="AD87" s="778"/>
      <c r="AE87" s="779"/>
      <c r="AF87" s="1249"/>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71"/>
      <c r="D88" s="1174"/>
      <c r="E88" s="1173">
        <v>1269535.4199999967</v>
      </c>
      <c r="F88" s="1171"/>
      <c r="G88" s="1174"/>
      <c r="H88" s="1173">
        <v>86829.449999998935</v>
      </c>
      <c r="I88" s="1171"/>
      <c r="J88" s="1174"/>
      <c r="K88" s="1173">
        <v>63626.749999999884</v>
      </c>
      <c r="L88" s="1171"/>
      <c r="M88" s="1174"/>
      <c r="N88" s="1173">
        <v>45307.549999999901</v>
      </c>
      <c r="O88" s="1171"/>
      <c r="P88" s="1174"/>
      <c r="Q88" s="1173">
        <v>107846.44000000006</v>
      </c>
      <c r="R88" s="1171"/>
      <c r="S88" s="1174"/>
      <c r="T88" s="1173">
        <v>78664.710000000108</v>
      </c>
      <c r="U88" s="1171"/>
      <c r="V88" s="1174"/>
      <c r="W88" s="1250">
        <v>67619.53000000013</v>
      </c>
      <c r="X88" s="1171"/>
      <c r="Y88" s="1174"/>
      <c r="Z88" s="1250">
        <v>189760.00999999983</v>
      </c>
      <c r="AA88" s="1171"/>
      <c r="AB88" s="1174"/>
      <c r="AC88" s="1250">
        <v>179233.70999999996</v>
      </c>
      <c r="AD88" s="1171"/>
      <c r="AE88" s="1174"/>
      <c r="AF88" s="1250">
        <v>149438.8899999999</v>
      </c>
      <c r="AG88" s="1171"/>
      <c r="AH88" s="1174"/>
      <c r="AI88" s="1173">
        <v>107475.51999999967</v>
      </c>
      <c r="AJ88" s="1171"/>
      <c r="AK88" s="1174"/>
      <c r="AL88" s="1173">
        <v>145825.73999999894</v>
      </c>
      <c r="AM88" s="1171"/>
      <c r="AN88" s="1174"/>
      <c r="AO88" s="1173">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6">
        <v>307</v>
      </c>
      <c r="D100" s="1147">
        <v>1388.3201302931582</v>
      </c>
      <c r="E100" s="1148">
        <v>426214.27999999956</v>
      </c>
      <c r="F100" s="1146">
        <v>24</v>
      </c>
      <c r="G100" s="1147">
        <v>1577.7937499999991</v>
      </c>
      <c r="H100" s="1148">
        <v>37867.049999999981</v>
      </c>
      <c r="I100" s="1146">
        <v>17</v>
      </c>
      <c r="J100" s="1147">
        <v>1348.0611764705823</v>
      </c>
      <c r="K100" s="1148">
        <v>22917.039999999899</v>
      </c>
      <c r="L100" s="1146">
        <v>30</v>
      </c>
      <c r="M100" s="1147">
        <v>1386.1839999999968</v>
      </c>
      <c r="N100" s="1148">
        <v>41585.519999999902</v>
      </c>
      <c r="O100" s="1146">
        <v>30</v>
      </c>
      <c r="P100" s="1147">
        <v>925.83199999999636</v>
      </c>
      <c r="Q100" s="1148">
        <v>27774.95999999989</v>
      </c>
      <c r="R100" s="1146">
        <v>30</v>
      </c>
      <c r="S100" s="1147">
        <v>1403.2353333333331</v>
      </c>
      <c r="T100" s="1148">
        <v>42097.05999999999</v>
      </c>
      <c r="U100" s="1146">
        <v>30</v>
      </c>
      <c r="V100" s="1147">
        <v>1968.6749999999965</v>
      </c>
      <c r="W100" s="1148">
        <v>59060.249999999898</v>
      </c>
      <c r="X100" s="1146">
        <v>28</v>
      </c>
      <c r="Y100" s="1147">
        <v>1004.9228571428536</v>
      </c>
      <c r="Z100" s="1148">
        <v>28137.839999999898</v>
      </c>
      <c r="AA100" s="1146">
        <v>27</v>
      </c>
      <c r="AB100" s="1147">
        <v>556.57629629629628</v>
      </c>
      <c r="AC100" s="1148">
        <v>15027.56</v>
      </c>
      <c r="AD100" s="1146">
        <v>26</v>
      </c>
      <c r="AE100" s="1147">
        <v>2085.7769230769268</v>
      </c>
      <c r="AF100" s="1148">
        <v>54230.200000000099</v>
      </c>
      <c r="AG100" s="1146">
        <v>15</v>
      </c>
      <c r="AH100" s="1147">
        <v>2694.2226666666666</v>
      </c>
      <c r="AI100" s="1148">
        <v>40413.339999999997</v>
      </c>
      <c r="AJ100" s="1146">
        <v>28</v>
      </c>
      <c r="AK100" s="1147">
        <v>1446.2435714285714</v>
      </c>
      <c r="AL100" s="1148">
        <v>40494.82</v>
      </c>
      <c r="AM100" s="1146">
        <v>22</v>
      </c>
      <c r="AN100" s="1147">
        <v>754.93818181818176</v>
      </c>
      <c r="AO100" s="1148">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51"/>
      <c r="D101" s="1252"/>
      <c r="E101" s="1253"/>
      <c r="F101" s="1251"/>
      <c r="G101" s="1252"/>
      <c r="H101" s="1253"/>
      <c r="I101" s="1251"/>
      <c r="J101" s="1252"/>
      <c r="K101" s="1253"/>
      <c r="L101" s="1251"/>
      <c r="M101" s="1252"/>
      <c r="N101" s="1253"/>
      <c r="O101" s="1251"/>
      <c r="P101" s="1252"/>
      <c r="Q101" s="1253"/>
      <c r="R101" s="1251"/>
      <c r="S101" s="1252"/>
      <c r="T101" s="1253"/>
      <c r="U101" s="1251"/>
      <c r="V101" s="1252"/>
      <c r="W101" s="1253"/>
      <c r="X101" s="1251"/>
      <c r="Y101" s="1252"/>
      <c r="Z101" s="1253"/>
      <c r="AA101" s="1251"/>
      <c r="AB101" s="1252"/>
      <c r="AC101" s="1253"/>
      <c r="AD101" s="1251"/>
      <c r="AE101" s="1252"/>
      <c r="AF101" s="1253"/>
      <c r="AG101" s="1251"/>
      <c r="AH101" s="1252"/>
      <c r="AI101" s="1253"/>
      <c r="AJ101" s="1251"/>
      <c r="AK101" s="1252"/>
      <c r="AL101" s="1253"/>
      <c r="AM101" s="1251"/>
      <c r="AN101" s="1252"/>
      <c r="AO101" s="1253"/>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6">
        <v>307</v>
      </c>
      <c r="D108" s="1147">
        <v>2060.7799348534204</v>
      </c>
      <c r="E108" s="1148">
        <v>632659.44000000006</v>
      </c>
      <c r="F108" s="1146">
        <v>24</v>
      </c>
      <c r="G108" s="1147">
        <v>1836.1870833333332</v>
      </c>
      <c r="H108" s="1148">
        <v>44068.49</v>
      </c>
      <c r="I108" s="1146">
        <v>17</v>
      </c>
      <c r="J108" s="1147">
        <v>1581.4811764705883</v>
      </c>
      <c r="K108" s="1148">
        <v>26885.18</v>
      </c>
      <c r="L108" s="1146">
        <v>30</v>
      </c>
      <c r="M108" s="1147">
        <v>1868.6399999999967</v>
      </c>
      <c r="N108" s="1148">
        <v>56059.199999999903</v>
      </c>
      <c r="O108" s="1146">
        <v>30</v>
      </c>
      <c r="P108" s="1147">
        <v>2045.6556666666665</v>
      </c>
      <c r="Q108" s="1148">
        <v>61369.67</v>
      </c>
      <c r="R108" s="1146">
        <v>30</v>
      </c>
      <c r="S108" s="1147">
        <v>2028.1363333333334</v>
      </c>
      <c r="T108" s="1148">
        <v>60844.090000000004</v>
      </c>
      <c r="U108" s="1146">
        <v>30</v>
      </c>
      <c r="V108" s="1147">
        <v>1910.3400000000001</v>
      </c>
      <c r="W108" s="1148">
        <v>57310.200000000004</v>
      </c>
      <c r="X108" s="1146">
        <v>28</v>
      </c>
      <c r="Y108" s="1147">
        <v>2412.0374999999999</v>
      </c>
      <c r="Z108" s="1148">
        <v>67537.05</v>
      </c>
      <c r="AA108" s="1146">
        <v>27</v>
      </c>
      <c r="AB108" s="1147">
        <v>2179.488148148148</v>
      </c>
      <c r="AC108" s="1148">
        <v>58846.179999999993</v>
      </c>
      <c r="AD108" s="1146">
        <v>26</v>
      </c>
      <c r="AE108" s="1147">
        <v>2459.9919230769233</v>
      </c>
      <c r="AF108" s="1148">
        <v>63959.79</v>
      </c>
      <c r="AG108" s="1146">
        <v>15</v>
      </c>
      <c r="AH108" s="1147">
        <v>2069.1373333333331</v>
      </c>
      <c r="AI108" s="1148">
        <v>31037.059999999998</v>
      </c>
      <c r="AJ108" s="1146">
        <v>28</v>
      </c>
      <c r="AK108" s="1147">
        <v>2148.2071428571426</v>
      </c>
      <c r="AL108" s="1148">
        <v>60149.799999999996</v>
      </c>
      <c r="AM108" s="1146">
        <v>22</v>
      </c>
      <c r="AN108" s="1147">
        <v>2026.9422727272729</v>
      </c>
      <c r="AO108" s="1148">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40">
        <v>161193.42999999979</v>
      </c>
      <c r="X111" s="753">
        <v>79</v>
      </c>
      <c r="Y111" s="754">
        <v>1686.9216455696187</v>
      </c>
      <c r="Z111" s="1240">
        <v>133266.80999999988</v>
      </c>
      <c r="AA111" s="753">
        <v>77</v>
      </c>
      <c r="AB111" s="754">
        <v>1373.0411688311685</v>
      </c>
      <c r="AC111" s="1240">
        <v>105724.16999999998</v>
      </c>
      <c r="AD111" s="753">
        <v>64</v>
      </c>
      <c r="AE111" s="754">
        <v>2064.6173437500015</v>
      </c>
      <c r="AF111" s="1240">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41"/>
      <c r="X112" s="756"/>
      <c r="Y112" s="757"/>
      <c r="Z112" s="1241"/>
      <c r="AA112" s="756"/>
      <c r="AB112" s="757"/>
      <c r="AC112" s="1241"/>
      <c r="AD112" s="756"/>
      <c r="AE112" s="757"/>
      <c r="AF112" s="1241"/>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4">
        <v>0.35483672672816163</v>
      </c>
      <c r="D115" s="764">
        <v>505.80762541806024</v>
      </c>
      <c r="E115" s="765">
        <v>151236.48000000001</v>
      </c>
      <c r="F115" s="1254">
        <v>0.32560498442311048</v>
      </c>
      <c r="G115" s="764">
        <v>652.22363636363639</v>
      </c>
      <c r="H115" s="765">
        <v>14348.92</v>
      </c>
      <c r="I115" s="1254">
        <v>0.33145026367686586</v>
      </c>
      <c r="J115" s="764">
        <v>594.07333333333338</v>
      </c>
      <c r="K115" s="765">
        <v>8911.1</v>
      </c>
      <c r="L115" s="1254">
        <v>0.25430527014299215</v>
      </c>
      <c r="M115" s="764">
        <v>491.59137931034479</v>
      </c>
      <c r="N115" s="765">
        <v>14256.15</v>
      </c>
      <c r="O115" s="1254">
        <v>0.15181131004941043</v>
      </c>
      <c r="P115" s="764">
        <v>332.73607142857145</v>
      </c>
      <c r="Q115" s="765">
        <v>9316.61</v>
      </c>
      <c r="R115" s="1254">
        <v>0.27248776339657638</v>
      </c>
      <c r="S115" s="764">
        <v>0</v>
      </c>
      <c r="T115" s="765">
        <v>16579.27</v>
      </c>
      <c r="U115" s="1254">
        <v>0.29186846320550269</v>
      </c>
      <c r="V115" s="764">
        <v>0</v>
      </c>
      <c r="W115" s="765">
        <v>16727.04</v>
      </c>
      <c r="X115" s="1254">
        <v>0.17780314656917942</v>
      </c>
      <c r="Y115" s="764">
        <v>0</v>
      </c>
      <c r="Z115" s="765">
        <v>12008.3</v>
      </c>
      <c r="AA115" s="1254">
        <v>0.21801228219061972</v>
      </c>
      <c r="AB115" s="764">
        <v>0</v>
      </c>
      <c r="AC115" s="765">
        <v>12829.19</v>
      </c>
      <c r="AD115" s="1254">
        <v>0.23960413253389357</v>
      </c>
      <c r="AE115" s="764">
        <v>0</v>
      </c>
      <c r="AF115" s="765">
        <v>15325.03</v>
      </c>
      <c r="AG115" s="1254">
        <v>0.36367974286224275</v>
      </c>
      <c r="AH115" s="764">
        <v>0</v>
      </c>
      <c r="AI115" s="765">
        <v>11287.55</v>
      </c>
      <c r="AJ115" s="1254">
        <v>0.17823201407153477</v>
      </c>
      <c r="AK115" s="764">
        <v>0</v>
      </c>
      <c r="AL115" s="765">
        <v>10720.62</v>
      </c>
      <c r="AM115" s="1254">
        <v>0.20018285491827928</v>
      </c>
      <c r="AN115" s="764">
        <v>425.0809523809524</v>
      </c>
      <c r="AO115" s="1242">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5"/>
      <c r="AH116" s="767">
        <v>0</v>
      </c>
      <c r="AI116" s="769">
        <v>9310.83</v>
      </c>
      <c r="AJ116" s="1255"/>
      <c r="AK116" s="767">
        <v>0</v>
      </c>
      <c r="AL116" s="769">
        <v>18971.509999999998</v>
      </c>
      <c r="AM116" s="1255"/>
      <c r="AN116" s="767">
        <v>212.33952380952383</v>
      </c>
      <c r="AO116" s="1243">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2">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2">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3">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2">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2">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7" t="s">
        <v>119</v>
      </c>
      <c r="D125" s="1158">
        <v>0.43406831945460911</v>
      </c>
      <c r="E125" s="1159">
        <v>554847.42999999993</v>
      </c>
      <c r="F125" s="1157" t="s">
        <v>119</v>
      </c>
      <c r="G125" s="1158"/>
      <c r="H125" s="1159">
        <v>46277.8</v>
      </c>
      <c r="I125" s="1157" t="s">
        <v>119</v>
      </c>
      <c r="J125" s="1158"/>
      <c r="K125" s="1159">
        <v>26328.37</v>
      </c>
      <c r="L125" s="1157" t="s">
        <v>119</v>
      </c>
      <c r="M125" s="1158"/>
      <c r="N125" s="1159">
        <v>47644.65</v>
      </c>
      <c r="O125" s="1157" t="s">
        <v>119</v>
      </c>
      <c r="P125" s="1158"/>
      <c r="Q125" s="1159">
        <v>45539.3</v>
      </c>
      <c r="R125" s="1256" t="s">
        <v>119</v>
      </c>
      <c r="S125" s="1158"/>
      <c r="T125" s="1159">
        <v>55764.41</v>
      </c>
      <c r="U125" s="1256" t="s">
        <v>119</v>
      </c>
      <c r="V125" s="1158"/>
      <c r="W125" s="1244">
        <v>57573.38</v>
      </c>
      <c r="X125" s="1256" t="s">
        <v>119</v>
      </c>
      <c r="Y125" s="1158"/>
      <c r="Z125" s="1244">
        <v>52423.1899999999</v>
      </c>
      <c r="AA125" s="1256" t="s">
        <v>119</v>
      </c>
      <c r="AB125" s="1158"/>
      <c r="AC125" s="1244">
        <v>47334.51</v>
      </c>
      <c r="AD125" s="1256" t="s">
        <v>119</v>
      </c>
      <c r="AE125" s="1158"/>
      <c r="AF125" s="1244">
        <v>54468.93</v>
      </c>
      <c r="AG125" s="1157" t="s">
        <v>119</v>
      </c>
      <c r="AH125" s="1158"/>
      <c r="AI125" s="1159">
        <v>43257.799999999901</v>
      </c>
      <c r="AJ125" s="1157" t="s">
        <v>119</v>
      </c>
      <c r="AK125" s="1158"/>
      <c r="AL125" s="1159">
        <v>45702.85</v>
      </c>
      <c r="AM125" s="1157" t="s">
        <v>119</v>
      </c>
      <c r="AN125" s="1158"/>
      <c r="AO125" s="1159">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2">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2">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4"/>
      <c r="D128" s="1162"/>
      <c r="E128" s="1164">
        <v>58483.799999999996</v>
      </c>
      <c r="F128" s="1144"/>
      <c r="G128" s="1162"/>
      <c r="H128" s="1164">
        <v>5161</v>
      </c>
      <c r="I128" s="1144"/>
      <c r="J128" s="1162"/>
      <c r="K128" s="1164">
        <v>5999</v>
      </c>
      <c r="L128" s="1144"/>
      <c r="M128" s="1162"/>
      <c r="N128" s="1164">
        <v>3236</v>
      </c>
      <c r="O128" s="1144"/>
      <c r="P128" s="1162"/>
      <c r="Q128" s="1164">
        <v>4612.75</v>
      </c>
      <c r="R128" s="1144"/>
      <c r="S128" s="1162"/>
      <c r="T128" s="1164">
        <v>5875.5</v>
      </c>
      <c r="U128" s="1144"/>
      <c r="V128" s="1162"/>
      <c r="W128" s="1164">
        <v>5223.6000000000004</v>
      </c>
      <c r="X128" s="1144"/>
      <c r="Y128" s="1162"/>
      <c r="Z128" s="1164">
        <v>5511.25</v>
      </c>
      <c r="AA128" s="1144"/>
      <c r="AB128" s="1162"/>
      <c r="AC128" s="1164">
        <v>5127.5</v>
      </c>
      <c r="AD128" s="1144"/>
      <c r="AE128" s="1162"/>
      <c r="AF128" s="1164">
        <v>3559.25</v>
      </c>
      <c r="AG128" s="1144"/>
      <c r="AH128" s="1162"/>
      <c r="AI128" s="1164">
        <v>4478.2</v>
      </c>
      <c r="AJ128" s="1144"/>
      <c r="AK128" s="1162"/>
      <c r="AL128" s="1164">
        <v>4999.6000000000004</v>
      </c>
      <c r="AM128" s="1144"/>
      <c r="AN128" s="1162"/>
      <c r="AO128" s="1245">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2">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2"/>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2"/>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2"/>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2">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4"/>
      <c r="D134" s="1162"/>
      <c r="E134" s="1164">
        <v>103016.16</v>
      </c>
      <c r="F134" s="1144"/>
      <c r="G134" s="1162"/>
      <c r="H134" s="1164">
        <v>8563.31</v>
      </c>
      <c r="I134" s="1144"/>
      <c r="J134" s="1162"/>
      <c r="K134" s="1164">
        <v>8042.92</v>
      </c>
      <c r="L134" s="1144"/>
      <c r="M134" s="1162"/>
      <c r="N134" s="1164">
        <v>8838.65</v>
      </c>
      <c r="O134" s="1144"/>
      <c r="P134" s="1162"/>
      <c r="Q134" s="1164">
        <v>10732.49</v>
      </c>
      <c r="R134" s="1144"/>
      <c r="S134" s="1162"/>
      <c r="T134" s="1164">
        <v>11184.74</v>
      </c>
      <c r="U134" s="1144"/>
      <c r="V134" s="1162"/>
      <c r="W134" s="1164">
        <v>8997.59</v>
      </c>
      <c r="X134" s="1144"/>
      <c r="Y134" s="1162"/>
      <c r="Z134" s="1164">
        <v>8415.69</v>
      </c>
      <c r="AA134" s="1144"/>
      <c r="AB134" s="1162"/>
      <c r="AC134" s="1164">
        <v>8319.08</v>
      </c>
      <c r="AD134" s="1144"/>
      <c r="AE134" s="1162"/>
      <c r="AF134" s="1164">
        <v>4149.34</v>
      </c>
      <c r="AG134" s="1144"/>
      <c r="AH134" s="1162"/>
      <c r="AI134" s="1164">
        <v>9111.51</v>
      </c>
      <c r="AJ134" s="1144"/>
      <c r="AK134" s="1162"/>
      <c r="AL134" s="1164">
        <v>9209.24</v>
      </c>
      <c r="AM134" s="1144"/>
      <c r="AN134" s="1162"/>
      <c r="AO134" s="1245">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2">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2">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7" t="s">
        <v>119</v>
      </c>
      <c r="D138" s="1158">
        <v>0.37570518728634655</v>
      </c>
      <c r="E138" s="1159">
        <v>480244.80999999994</v>
      </c>
      <c r="F138" s="1157"/>
      <c r="G138" s="1158"/>
      <c r="H138" s="1159">
        <v>45608.86</v>
      </c>
      <c r="I138" s="1157"/>
      <c r="J138" s="1158"/>
      <c r="K138" s="1159">
        <v>38343.919999999998</v>
      </c>
      <c r="L138" s="1157"/>
      <c r="M138" s="1158"/>
      <c r="N138" s="1159">
        <v>40198.359999999899</v>
      </c>
      <c r="O138" s="1157"/>
      <c r="P138" s="1158"/>
      <c r="Q138" s="1159">
        <v>42163.24</v>
      </c>
      <c r="R138" s="1157"/>
      <c r="S138" s="1158"/>
      <c r="T138" s="1159">
        <v>43389.549999999901</v>
      </c>
      <c r="U138" s="1157"/>
      <c r="V138" s="1158"/>
      <c r="W138" s="1244">
        <v>37171.81</v>
      </c>
      <c r="X138" s="1157"/>
      <c r="Y138" s="1158"/>
      <c r="Z138" s="1244">
        <v>40355.660000000003</v>
      </c>
      <c r="AA138" s="1157"/>
      <c r="AB138" s="1158"/>
      <c r="AC138" s="1244">
        <v>40990.910000000003</v>
      </c>
      <c r="AD138" s="1157"/>
      <c r="AE138" s="1158"/>
      <c r="AF138" s="1244">
        <v>30548.3299999999</v>
      </c>
      <c r="AG138" s="1157"/>
      <c r="AH138" s="1158"/>
      <c r="AI138" s="1159">
        <v>42654.97</v>
      </c>
      <c r="AJ138" s="1157"/>
      <c r="AK138" s="1158"/>
      <c r="AL138" s="1159">
        <v>40503.46</v>
      </c>
      <c r="AM138" s="1157"/>
      <c r="AN138" s="1158"/>
      <c r="AO138" s="1159">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2">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2">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6">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2">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2">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6">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2">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2">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2">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2">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2">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2">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2">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2">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7" t="s">
        <v>119</v>
      </c>
      <c r="D156" s="1158">
        <v>0.10156880378900805</v>
      </c>
      <c r="E156" s="1159">
        <v>129830.23</v>
      </c>
      <c r="F156" s="1157"/>
      <c r="G156" s="1158"/>
      <c r="H156" s="1159">
        <v>12492.41</v>
      </c>
      <c r="I156" s="1157"/>
      <c r="J156" s="1158"/>
      <c r="K156" s="1159">
        <v>10011.14</v>
      </c>
      <c r="L156" s="1157"/>
      <c r="M156" s="1158"/>
      <c r="N156" s="1159">
        <v>10909.62</v>
      </c>
      <c r="O156" s="1157"/>
      <c r="P156" s="1158"/>
      <c r="Q156" s="1159">
        <v>14764.16</v>
      </c>
      <c r="R156" s="1157"/>
      <c r="S156" s="1158"/>
      <c r="T156" s="1159">
        <v>10261.779999999901</v>
      </c>
      <c r="U156" s="1157"/>
      <c r="V156" s="1158"/>
      <c r="W156" s="1244">
        <v>8547.4699999999993</v>
      </c>
      <c r="X156" s="1157"/>
      <c r="Y156" s="1158"/>
      <c r="Z156" s="1244">
        <v>10277.99</v>
      </c>
      <c r="AA156" s="1157"/>
      <c r="AB156" s="1158"/>
      <c r="AC156" s="1244">
        <v>10710.119999999901</v>
      </c>
      <c r="AD156" s="1157"/>
      <c r="AE156" s="1158"/>
      <c r="AF156" s="1244">
        <v>12418.96</v>
      </c>
      <c r="AG156" s="1157"/>
      <c r="AH156" s="1158"/>
      <c r="AI156" s="1159">
        <v>11332.62</v>
      </c>
      <c r="AJ156" s="1157"/>
      <c r="AK156" s="1158"/>
      <c r="AL156" s="1159">
        <v>10397.5999999999</v>
      </c>
      <c r="AM156" s="1157"/>
      <c r="AN156" s="1158"/>
      <c r="AO156" s="1159">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7" t="s">
        <v>119</v>
      </c>
      <c r="D158" s="1158">
        <v>0.91134231052996384</v>
      </c>
      <c r="E158" s="1167">
        <v>1164922.47</v>
      </c>
      <c r="F158" s="1157"/>
      <c r="G158" s="1158"/>
      <c r="H158" s="1167">
        <v>104379.07</v>
      </c>
      <c r="I158" s="1157"/>
      <c r="J158" s="1158"/>
      <c r="K158" s="1167">
        <v>74683.429999999993</v>
      </c>
      <c r="L158" s="1157"/>
      <c r="M158" s="1158"/>
      <c r="N158" s="1167">
        <v>98752.629999999888</v>
      </c>
      <c r="O158" s="1157"/>
      <c r="P158" s="1158"/>
      <c r="Q158" s="1167">
        <v>102466.70000000001</v>
      </c>
      <c r="R158" s="1157"/>
      <c r="S158" s="1158"/>
      <c r="T158" s="1167">
        <v>109415.7399999998</v>
      </c>
      <c r="U158" s="1157"/>
      <c r="V158" s="1158"/>
      <c r="W158" s="1247">
        <v>103292.66</v>
      </c>
      <c r="X158" s="1157"/>
      <c r="Y158" s="1158"/>
      <c r="Z158" s="1247">
        <v>103056.83999999991</v>
      </c>
      <c r="AA158" s="1157"/>
      <c r="AB158" s="1158"/>
      <c r="AC158" s="1247">
        <v>99035.539999999921</v>
      </c>
      <c r="AD158" s="1157"/>
      <c r="AE158" s="1158"/>
      <c r="AF158" s="1247">
        <v>97436.219999999885</v>
      </c>
      <c r="AG158" s="1157"/>
      <c r="AH158" s="1158"/>
      <c r="AI158" s="1167">
        <v>97245.389999999898</v>
      </c>
      <c r="AJ158" s="1157"/>
      <c r="AK158" s="1158"/>
      <c r="AL158" s="1167">
        <v>96603.909999999902</v>
      </c>
      <c r="AM158" s="1157"/>
      <c r="AN158" s="1158"/>
      <c r="AO158" s="1167">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8"/>
      <c r="D166" s="1179"/>
      <c r="E166" s="1167">
        <v>142989</v>
      </c>
      <c r="F166" s="1178"/>
      <c r="G166" s="1179"/>
      <c r="H166" s="1167">
        <v>11187</v>
      </c>
      <c r="I166" s="1178"/>
      <c r="J166" s="1179"/>
      <c r="K166" s="1167">
        <v>8208</v>
      </c>
      <c r="L166" s="1178"/>
      <c r="M166" s="1179"/>
      <c r="N166" s="1167">
        <v>14076</v>
      </c>
      <c r="O166" s="1178"/>
      <c r="P166" s="1179"/>
      <c r="Q166" s="1167">
        <v>14505</v>
      </c>
      <c r="R166" s="1178"/>
      <c r="S166" s="1179"/>
      <c r="T166" s="1167">
        <v>14061</v>
      </c>
      <c r="U166" s="1178"/>
      <c r="V166" s="1179"/>
      <c r="W166" s="1247">
        <v>13986</v>
      </c>
      <c r="X166" s="1178"/>
      <c r="Y166" s="1179"/>
      <c r="Z166" s="1247">
        <v>12504</v>
      </c>
      <c r="AA166" s="1178"/>
      <c r="AB166" s="1179"/>
      <c r="AC166" s="1247">
        <v>13008</v>
      </c>
      <c r="AD166" s="1178"/>
      <c r="AE166" s="1179"/>
      <c r="AF166" s="1247">
        <v>11052</v>
      </c>
      <c r="AG166" s="1178"/>
      <c r="AH166" s="1179"/>
      <c r="AI166" s="1167">
        <v>7230</v>
      </c>
      <c r="AJ166" s="1178"/>
      <c r="AK166" s="1179"/>
      <c r="AL166" s="1167">
        <v>12993</v>
      </c>
      <c r="AM166" s="1178"/>
      <c r="AN166" s="1179"/>
      <c r="AO166" s="1167">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70"/>
      <c r="D168" s="1181"/>
      <c r="E168" s="1173">
        <v>256315.6099999994</v>
      </c>
      <c r="F168" s="1170"/>
      <c r="G168" s="1181"/>
      <c r="H168" s="1173">
        <v>-4723.5100000000239</v>
      </c>
      <c r="I168" s="1170"/>
      <c r="J168" s="1181"/>
      <c r="K168" s="1173">
        <v>-9236.2900000000809</v>
      </c>
      <c r="L168" s="1170"/>
      <c r="M168" s="1181"/>
      <c r="N168" s="1173">
        <v>23566.819999999905</v>
      </c>
      <c r="O168" s="1170"/>
      <c r="P168" s="1181"/>
      <c r="Q168" s="1173">
        <v>27225.83999999988</v>
      </c>
      <c r="R168" s="1170"/>
      <c r="S168" s="1181"/>
      <c r="T168" s="1173">
        <v>24170.030000000101</v>
      </c>
      <c r="U168" s="1170"/>
      <c r="V168" s="1181"/>
      <c r="W168" s="1250">
        <v>71886.769999999786</v>
      </c>
      <c r="X168" s="1170"/>
      <c r="Y168" s="1181"/>
      <c r="Z168" s="1250">
        <v>42713.969999999972</v>
      </c>
      <c r="AA168" s="1170"/>
      <c r="AB168" s="1181"/>
      <c r="AC168" s="1250">
        <v>19696.630000000063</v>
      </c>
      <c r="AD168" s="1170"/>
      <c r="AE168" s="1181"/>
      <c r="AF168" s="1250">
        <v>45751.290000000212</v>
      </c>
      <c r="AG168" s="1170"/>
      <c r="AH168" s="1181"/>
      <c r="AI168" s="1173">
        <v>-9089.7899999999499</v>
      </c>
      <c r="AJ168" s="1170"/>
      <c r="AK168" s="1181"/>
      <c r="AL168" s="1173">
        <v>9484.7700000001496</v>
      </c>
      <c r="AM168" s="1170"/>
      <c r="AN168" s="1181"/>
      <c r="AO168" s="1173">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4">
        <v>2393</v>
      </c>
      <c r="D178" s="1185">
        <v>735468.68</v>
      </c>
      <c r="E178" s="1164">
        <v>475971.92999999982</v>
      </c>
      <c r="F178" s="1184">
        <v>231</v>
      </c>
      <c r="G178" s="1185">
        <v>78219.08</v>
      </c>
      <c r="H178" s="1164">
        <v>53780.83</v>
      </c>
      <c r="I178" s="1184">
        <v>258</v>
      </c>
      <c r="J178" s="1185">
        <v>67450.92</v>
      </c>
      <c r="K178" s="1164">
        <v>45677.440000000002</v>
      </c>
      <c r="L178" s="1184">
        <v>287</v>
      </c>
      <c r="M178" s="1185">
        <v>83188.259999999995</v>
      </c>
      <c r="N178" s="1164">
        <v>53154.959999999897</v>
      </c>
      <c r="O178" s="1184">
        <v>192</v>
      </c>
      <c r="P178" s="1185">
        <v>40008.99</v>
      </c>
      <c r="Q178" s="1164">
        <v>23879.969999999899</v>
      </c>
      <c r="R178" s="1184">
        <v>178</v>
      </c>
      <c r="S178" s="1185">
        <v>42881.71</v>
      </c>
      <c r="T178" s="1164">
        <v>25065.75</v>
      </c>
      <c r="U178" s="1184">
        <v>230</v>
      </c>
      <c r="V178" s="1185">
        <v>58666.38</v>
      </c>
      <c r="W178" s="1164">
        <v>38054.239999999998</v>
      </c>
      <c r="X178" s="1184">
        <v>211</v>
      </c>
      <c r="Y178" s="1185">
        <v>68514.11</v>
      </c>
      <c r="Z178" s="1164">
        <v>42536.59</v>
      </c>
      <c r="AA178" s="1184">
        <v>170</v>
      </c>
      <c r="AB178" s="1185">
        <v>70265.14</v>
      </c>
      <c r="AC178" s="1164">
        <v>43801.95</v>
      </c>
      <c r="AD178" s="1184">
        <v>175</v>
      </c>
      <c r="AE178" s="1185">
        <v>71307.81</v>
      </c>
      <c r="AF178" s="1164">
        <v>47482.42</v>
      </c>
      <c r="AG178" s="1184">
        <v>153</v>
      </c>
      <c r="AH178" s="1185">
        <v>63412.01</v>
      </c>
      <c r="AI178" s="1164">
        <v>41882.21</v>
      </c>
      <c r="AJ178" s="1184">
        <v>85</v>
      </c>
      <c r="AK178" s="1185">
        <v>13968.22</v>
      </c>
      <c r="AL178" s="1164">
        <v>7831.7699999999904</v>
      </c>
      <c r="AM178" s="1184">
        <v>223</v>
      </c>
      <c r="AN178" s="1185">
        <v>77586.05</v>
      </c>
      <c r="AO178" s="1164">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7">
        <v>87494.05</v>
      </c>
      <c r="T181" s="1258">
        <v>66932.45</v>
      </c>
      <c r="U181" s="798">
        <v>265</v>
      </c>
      <c r="V181" s="1257">
        <v>79677.269999999902</v>
      </c>
      <c r="W181" s="765">
        <v>60336.739999999903</v>
      </c>
      <c r="X181" s="798">
        <v>249</v>
      </c>
      <c r="Y181" s="1257">
        <v>93153.12</v>
      </c>
      <c r="Z181" s="765">
        <v>74412.23</v>
      </c>
      <c r="AA181" s="798">
        <v>324</v>
      </c>
      <c r="AB181" s="1257">
        <v>96307.43</v>
      </c>
      <c r="AC181" s="765">
        <v>76952.459999999905</v>
      </c>
      <c r="AD181" s="798">
        <v>328</v>
      </c>
      <c r="AE181" s="1257">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4">
        <v>0</v>
      </c>
      <c r="D184" s="1185">
        <v>131978.6</v>
      </c>
      <c r="E184" s="1164">
        <v>104558.13999999988</v>
      </c>
      <c r="F184" s="1184">
        <v>0</v>
      </c>
      <c r="G184" s="1185">
        <v>3898.56</v>
      </c>
      <c r="H184" s="1164">
        <v>2857.0299999999902</v>
      </c>
      <c r="I184" s="1184">
        <v>0</v>
      </c>
      <c r="J184" s="1185">
        <v>3769.71</v>
      </c>
      <c r="K184" s="1164">
        <v>2857.41</v>
      </c>
      <c r="L184" s="1184">
        <v>0</v>
      </c>
      <c r="M184" s="1185">
        <v>8215.18</v>
      </c>
      <c r="N184" s="1164">
        <v>6311.64</v>
      </c>
      <c r="O184" s="1184">
        <v>0</v>
      </c>
      <c r="P184" s="1185">
        <v>25065.34</v>
      </c>
      <c r="Q184" s="1164">
        <v>20456.11</v>
      </c>
      <c r="R184" s="1184">
        <v>0</v>
      </c>
      <c r="S184" s="1185">
        <v>23911.63</v>
      </c>
      <c r="T184" s="1164">
        <v>19209.34</v>
      </c>
      <c r="U184" s="1184">
        <v>0</v>
      </c>
      <c r="V184" s="1185">
        <v>9357.93</v>
      </c>
      <c r="W184" s="1164">
        <v>7296.8</v>
      </c>
      <c r="X184" s="1184">
        <v>0</v>
      </c>
      <c r="Y184" s="1185">
        <v>8246.2000000000007</v>
      </c>
      <c r="Z184" s="1164">
        <v>6572.43</v>
      </c>
      <c r="AA184" s="1184">
        <v>0</v>
      </c>
      <c r="AB184" s="1185">
        <v>5277.1</v>
      </c>
      <c r="AC184" s="1164">
        <v>4045.75</v>
      </c>
      <c r="AD184" s="1184">
        <v>0</v>
      </c>
      <c r="AE184" s="1185">
        <v>8116.64</v>
      </c>
      <c r="AF184" s="1164">
        <v>6178.8</v>
      </c>
      <c r="AG184" s="1184">
        <v>0</v>
      </c>
      <c r="AH184" s="1185">
        <v>12080.43</v>
      </c>
      <c r="AI184" s="1164">
        <v>9484.86</v>
      </c>
      <c r="AJ184" s="1184">
        <v>0</v>
      </c>
      <c r="AK184" s="1185">
        <v>19444.009999999998</v>
      </c>
      <c r="AL184" s="1164">
        <v>15555.9399999999</v>
      </c>
      <c r="AM184" s="1184">
        <v>0</v>
      </c>
      <c r="AN184" s="1185">
        <v>4595.87</v>
      </c>
      <c r="AO184" s="1164">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40">
        <v>213605.31999999989</v>
      </c>
      <c r="X188" s="810">
        <v>862</v>
      </c>
      <c r="Y188" s="811">
        <v>306097.01</v>
      </c>
      <c r="Z188" s="1240">
        <v>229976.22999999998</v>
      </c>
      <c r="AA188" s="810">
        <v>846</v>
      </c>
      <c r="AB188" s="811">
        <v>307376.49</v>
      </c>
      <c r="AC188" s="1240">
        <v>231524.6399999999</v>
      </c>
      <c r="AD188" s="810">
        <v>838</v>
      </c>
      <c r="AE188" s="811">
        <v>319356.68</v>
      </c>
      <c r="AF188" s="1240">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9"/>
      <c r="F190" s="797"/>
      <c r="G190" s="764"/>
      <c r="H190" s="1189"/>
      <c r="I190" s="797"/>
      <c r="J190" s="764"/>
      <c r="K190" s="1189"/>
      <c r="L190" s="797"/>
      <c r="M190" s="764"/>
      <c r="N190" s="1189"/>
      <c r="O190" s="797"/>
      <c r="P190" s="764"/>
      <c r="Q190" s="1189"/>
      <c r="R190" s="797"/>
      <c r="S190" s="764"/>
      <c r="T190" s="1189"/>
      <c r="U190" s="797"/>
      <c r="V190" s="764"/>
      <c r="W190" s="1189"/>
      <c r="X190" s="797"/>
      <c r="Y190" s="764"/>
      <c r="Z190" s="1189"/>
      <c r="AA190" s="797"/>
      <c r="AB190" s="764"/>
      <c r="AC190" s="1189"/>
      <c r="AD190" s="797"/>
      <c r="AE190" s="764"/>
      <c r="AF190" s="1189"/>
      <c r="AG190" s="797"/>
      <c r="AH190" s="764"/>
      <c r="AI190" s="1189"/>
      <c r="AJ190" s="797"/>
      <c r="AK190" s="764"/>
      <c r="AL190" s="1189"/>
      <c r="AM190" s="797"/>
      <c r="AN190" s="764"/>
      <c r="AO190" s="1189"/>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4">
        <v>0</v>
      </c>
      <c r="D194" s="1259">
        <v>118491</v>
      </c>
      <c r="E194" s="1164">
        <v>86816.589999999982</v>
      </c>
      <c r="F194" s="1184">
        <v>0</v>
      </c>
      <c r="G194" s="1259">
        <v>4029.9</v>
      </c>
      <c r="H194" s="1164">
        <v>3229.1</v>
      </c>
      <c r="I194" s="1184">
        <v>0</v>
      </c>
      <c r="J194" s="1259">
        <v>6923.95</v>
      </c>
      <c r="K194" s="1164">
        <v>5337.95</v>
      </c>
      <c r="L194" s="1184">
        <v>0</v>
      </c>
      <c r="M194" s="1259">
        <v>11580</v>
      </c>
      <c r="N194" s="1164">
        <v>8610.2900000000009</v>
      </c>
      <c r="O194" s="1184">
        <v>0</v>
      </c>
      <c r="P194" s="1259">
        <v>10458.5</v>
      </c>
      <c r="Q194" s="1164">
        <v>7042.3899999999903</v>
      </c>
      <c r="R194" s="1260">
        <v>0</v>
      </c>
      <c r="S194" s="1259">
        <v>13699.1</v>
      </c>
      <c r="T194" s="1164">
        <v>8680.98</v>
      </c>
      <c r="U194" s="1260">
        <v>0</v>
      </c>
      <c r="V194" s="1259">
        <v>12017.6</v>
      </c>
      <c r="W194" s="1164">
        <v>9481.08</v>
      </c>
      <c r="X194" s="1260">
        <v>0</v>
      </c>
      <c r="Y194" s="1259">
        <v>8810.2999999999993</v>
      </c>
      <c r="Z194" s="1164">
        <v>7200.49</v>
      </c>
      <c r="AA194" s="1260">
        <v>0</v>
      </c>
      <c r="AB194" s="1259">
        <v>8876.7999999999993</v>
      </c>
      <c r="AC194" s="1164">
        <v>3659.7999999999902</v>
      </c>
      <c r="AD194" s="1260">
        <v>0</v>
      </c>
      <c r="AE194" s="1259">
        <v>6714.85</v>
      </c>
      <c r="AF194" s="1164">
        <v>5309.21</v>
      </c>
      <c r="AG194" s="1184">
        <v>0</v>
      </c>
      <c r="AH194" s="1259">
        <v>18540.5</v>
      </c>
      <c r="AI194" s="1164">
        <v>14606.44</v>
      </c>
      <c r="AJ194" s="1184">
        <v>0</v>
      </c>
      <c r="AK194" s="1259">
        <v>7849.8</v>
      </c>
      <c r="AL194" s="1164">
        <v>6357.09</v>
      </c>
      <c r="AM194" s="1184">
        <v>0</v>
      </c>
      <c r="AN194" s="1259">
        <v>8989.7000000000007</v>
      </c>
      <c r="AO194" s="1164">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5"/>
      <c r="D196" s="1196"/>
      <c r="E196" s="1197"/>
      <c r="F196" s="1195"/>
      <c r="G196" s="1196"/>
      <c r="H196" s="1197"/>
      <c r="I196" s="1195"/>
      <c r="J196" s="1196"/>
      <c r="K196" s="1197"/>
      <c r="L196" s="1195"/>
      <c r="M196" s="1196"/>
      <c r="N196" s="1197"/>
      <c r="O196" s="1195"/>
      <c r="P196" s="1196"/>
      <c r="Q196" s="1197"/>
      <c r="R196" s="1195"/>
      <c r="S196" s="1196"/>
      <c r="T196" s="1197"/>
      <c r="U196" s="1195"/>
      <c r="V196" s="1196"/>
      <c r="W196" s="1203"/>
      <c r="X196" s="1195"/>
      <c r="Y196" s="1196"/>
      <c r="Z196" s="1203"/>
      <c r="AA196" s="1195"/>
      <c r="AB196" s="1196"/>
      <c r="AC196" s="1203"/>
      <c r="AD196" s="1195"/>
      <c r="AE196" s="1196"/>
      <c r="AF196" s="1203"/>
      <c r="AG196" s="1195"/>
      <c r="AH196" s="1196"/>
      <c r="AI196" s="1197"/>
      <c r="AJ196" s="1195"/>
      <c r="AK196" s="1196"/>
      <c r="AL196" s="1197"/>
      <c r="AM196" s="1195"/>
      <c r="AN196" s="1196"/>
      <c r="AO196" s="1197"/>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40">
        <v>226780.92999999988</v>
      </c>
      <c r="X197" s="753"/>
      <c r="Y197" s="818">
        <v>337642.79999999987</v>
      </c>
      <c r="Z197" s="1240">
        <v>241303.17999999996</v>
      </c>
      <c r="AA197" s="753"/>
      <c r="AB197" s="818">
        <v>333885.31</v>
      </c>
      <c r="AC197" s="1240">
        <v>239098.91999999987</v>
      </c>
      <c r="AD197" s="753"/>
      <c r="AE197" s="818">
        <v>347420.47999999986</v>
      </c>
      <c r="AF197" s="1240">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61">
        <v>0.71337722775724999</v>
      </c>
      <c r="X198" s="756"/>
      <c r="Y198" s="757"/>
      <c r="Z198" s="1261">
        <v>0.71467000036725215</v>
      </c>
      <c r="AA198" s="756"/>
      <c r="AB198" s="757"/>
      <c r="AC198" s="1261">
        <v>0.71611093042697771</v>
      </c>
      <c r="AD198" s="756"/>
      <c r="AE198" s="757"/>
      <c r="AF198" s="1261">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2">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2">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4"/>
      <c r="D203" s="1162"/>
      <c r="E203" s="1164">
        <v>228367.15999999997</v>
      </c>
      <c r="F203" s="1144"/>
      <c r="G203" s="1162"/>
      <c r="H203" s="1164">
        <v>16262.27</v>
      </c>
      <c r="I203" s="1144"/>
      <c r="J203" s="1162"/>
      <c r="K203" s="1164">
        <v>14529.05</v>
      </c>
      <c r="L203" s="1144"/>
      <c r="M203" s="1162"/>
      <c r="N203" s="1164">
        <v>16309.16</v>
      </c>
      <c r="O203" s="1144"/>
      <c r="P203" s="1162"/>
      <c r="Q203" s="1164">
        <v>24058.41</v>
      </c>
      <c r="R203" s="1144"/>
      <c r="S203" s="1162"/>
      <c r="T203" s="1164">
        <v>23882.37</v>
      </c>
      <c r="U203" s="1144"/>
      <c r="V203" s="1162"/>
      <c r="W203" s="1164">
        <v>15014.9</v>
      </c>
      <c r="X203" s="1144"/>
      <c r="Y203" s="1162"/>
      <c r="Z203" s="1164">
        <v>14236.65</v>
      </c>
      <c r="AA203" s="1144"/>
      <c r="AB203" s="1162"/>
      <c r="AC203" s="1164">
        <v>16216.28</v>
      </c>
      <c r="AD203" s="1144"/>
      <c r="AE203" s="1162"/>
      <c r="AF203" s="1164">
        <v>17080.45</v>
      </c>
      <c r="AG203" s="1144"/>
      <c r="AH203" s="1162"/>
      <c r="AI203" s="1164">
        <v>24939.74</v>
      </c>
      <c r="AJ203" s="1144"/>
      <c r="AK203" s="1162"/>
      <c r="AL203" s="1164">
        <v>30609.24</v>
      </c>
      <c r="AM203" s="1144"/>
      <c r="AN203" s="1162"/>
      <c r="AO203" s="1245">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2">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2"/>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2"/>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2"/>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2">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4"/>
      <c r="D209" s="1162"/>
      <c r="E209" s="1164">
        <v>245070.75</v>
      </c>
      <c r="F209" s="1144"/>
      <c r="G209" s="1162"/>
      <c r="H209" s="1164">
        <v>18756.32</v>
      </c>
      <c r="I209" s="1144"/>
      <c r="J209" s="1162"/>
      <c r="K209" s="1164">
        <v>15622.95</v>
      </c>
      <c r="L209" s="1144"/>
      <c r="M209" s="1162"/>
      <c r="N209" s="1164">
        <v>16705.810000000001</v>
      </c>
      <c r="O209" s="1144"/>
      <c r="P209" s="1162"/>
      <c r="Q209" s="1164">
        <v>22915.759999999998</v>
      </c>
      <c r="R209" s="1144"/>
      <c r="S209" s="1162"/>
      <c r="T209" s="1164">
        <v>24326.74</v>
      </c>
      <c r="U209" s="1144"/>
      <c r="V209" s="1162"/>
      <c r="W209" s="1164">
        <v>19320.64</v>
      </c>
      <c r="X209" s="1144"/>
      <c r="Y209" s="1162"/>
      <c r="Z209" s="1164">
        <v>19588.689999999999</v>
      </c>
      <c r="AA209" s="1144"/>
      <c r="AB209" s="1162"/>
      <c r="AC209" s="1164">
        <v>19763.599999999999</v>
      </c>
      <c r="AD209" s="1144"/>
      <c r="AE209" s="1162"/>
      <c r="AF209" s="1164">
        <v>16543.66</v>
      </c>
      <c r="AG209" s="1144"/>
      <c r="AH209" s="1162"/>
      <c r="AI209" s="1164">
        <v>24695.16</v>
      </c>
      <c r="AJ209" s="1144"/>
      <c r="AK209" s="1162"/>
      <c r="AL209" s="1164">
        <v>28350.55</v>
      </c>
      <c r="AM209" s="1144"/>
      <c r="AN209" s="1162"/>
      <c r="AO209" s="1245">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2">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2">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7" t="s">
        <v>175</v>
      </c>
      <c r="D213" s="1158">
        <v>0.48429570462199467</v>
      </c>
      <c r="E213" s="1159">
        <v>1410703.2</v>
      </c>
      <c r="F213" s="1157" t="s">
        <v>175</v>
      </c>
      <c r="G213" s="1158">
        <v>0</v>
      </c>
      <c r="H213" s="1159">
        <v>104211.68000000001</v>
      </c>
      <c r="I213" s="1157" t="s">
        <v>175</v>
      </c>
      <c r="J213" s="1158">
        <v>0</v>
      </c>
      <c r="K213" s="1159">
        <v>93287.340000000011</v>
      </c>
      <c r="L213" s="1157" t="s">
        <v>175</v>
      </c>
      <c r="M213" s="1158">
        <v>0</v>
      </c>
      <c r="N213" s="1159">
        <v>101345.09999999999</v>
      </c>
      <c r="O213" s="1157" t="s">
        <v>175</v>
      </c>
      <c r="P213" s="1158">
        <v>0</v>
      </c>
      <c r="Q213" s="1159">
        <v>128366.64</v>
      </c>
      <c r="R213" s="1157" t="s">
        <v>175</v>
      </c>
      <c r="S213" s="1158">
        <v>0</v>
      </c>
      <c r="T213" s="1159">
        <v>138530.88</v>
      </c>
      <c r="U213" s="1157" t="s">
        <v>175</v>
      </c>
      <c r="V213" s="1158">
        <v>0</v>
      </c>
      <c r="W213" s="1244">
        <v>111783.14</v>
      </c>
      <c r="X213" s="1157" t="s">
        <v>175</v>
      </c>
      <c r="Y213" s="1158">
        <v>0</v>
      </c>
      <c r="Z213" s="1244">
        <v>108311.01</v>
      </c>
      <c r="AA213" s="1157" t="s">
        <v>175</v>
      </c>
      <c r="AB213" s="1158">
        <v>0</v>
      </c>
      <c r="AC213" s="1244">
        <v>119594.80000000002</v>
      </c>
      <c r="AD213" s="1157" t="s">
        <v>175</v>
      </c>
      <c r="AE213" s="1158">
        <v>0</v>
      </c>
      <c r="AF213" s="1244">
        <v>104557.32</v>
      </c>
      <c r="AG213" s="1157" t="s">
        <v>175</v>
      </c>
      <c r="AH213" s="1158">
        <v>0</v>
      </c>
      <c r="AI213" s="1159">
        <v>146729.94</v>
      </c>
      <c r="AJ213" s="1157" t="s">
        <v>175</v>
      </c>
      <c r="AK213" s="1158">
        <v>0</v>
      </c>
      <c r="AL213" s="1159">
        <v>151383.09</v>
      </c>
      <c r="AM213" s="1157" t="s">
        <v>175</v>
      </c>
      <c r="AN213" s="1158">
        <v>0</v>
      </c>
      <c r="AO213" s="1159">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2">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2">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3">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2">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2">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3">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2">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2">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2">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2">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2">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2">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2">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2">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2">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7" t="s">
        <v>175</v>
      </c>
      <c r="D232" s="1158">
        <v>0.24509781307462034</v>
      </c>
      <c r="E232" s="1159">
        <v>713944.5299999998</v>
      </c>
      <c r="F232" s="1157" t="s">
        <v>175</v>
      </c>
      <c r="G232" s="1158">
        <v>0</v>
      </c>
      <c r="H232" s="1159">
        <v>47602.720000000008</v>
      </c>
      <c r="I232" s="1157" t="s">
        <v>175</v>
      </c>
      <c r="J232" s="1158">
        <v>0</v>
      </c>
      <c r="K232" s="1159">
        <v>56134.49</v>
      </c>
      <c r="L232" s="1157" t="s">
        <v>175</v>
      </c>
      <c r="M232" s="1158">
        <v>0</v>
      </c>
      <c r="N232" s="1159">
        <v>63084.330000000009</v>
      </c>
      <c r="O232" s="1157" t="s">
        <v>175</v>
      </c>
      <c r="P232" s="1158">
        <v>0</v>
      </c>
      <c r="Q232" s="1159">
        <v>71171.840000000026</v>
      </c>
      <c r="R232" s="1157" t="s">
        <v>175</v>
      </c>
      <c r="S232" s="1158">
        <v>0</v>
      </c>
      <c r="T232" s="1159">
        <v>69518.64</v>
      </c>
      <c r="U232" s="1157" t="s">
        <v>175</v>
      </c>
      <c r="V232" s="1158">
        <v>0</v>
      </c>
      <c r="W232" s="1244">
        <v>50947.270000000004</v>
      </c>
      <c r="X232" s="1157" t="s">
        <v>175</v>
      </c>
      <c r="Y232" s="1158">
        <v>0</v>
      </c>
      <c r="Z232" s="1244">
        <v>59491.4</v>
      </c>
      <c r="AA232" s="1157" t="s">
        <v>175</v>
      </c>
      <c r="AB232" s="1158">
        <v>0</v>
      </c>
      <c r="AC232" s="1244">
        <v>57098.790000000008</v>
      </c>
      <c r="AD232" s="1157" t="s">
        <v>175</v>
      </c>
      <c r="AE232" s="1158">
        <v>0</v>
      </c>
      <c r="AF232" s="1244">
        <v>53656.489999999991</v>
      </c>
      <c r="AG232" s="1157" t="s">
        <v>175</v>
      </c>
      <c r="AH232" s="1158">
        <v>0</v>
      </c>
      <c r="AI232" s="1159">
        <v>62237.109999999979</v>
      </c>
      <c r="AJ232" s="1157" t="s">
        <v>175</v>
      </c>
      <c r="AK232" s="1158">
        <v>0</v>
      </c>
      <c r="AL232" s="1159">
        <v>69209.179999999993</v>
      </c>
      <c r="AM232" s="1157" t="s">
        <v>175</v>
      </c>
      <c r="AN232" s="1158">
        <v>0</v>
      </c>
      <c r="AO232" s="1159">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7" t="s">
        <v>119</v>
      </c>
      <c r="D234" s="1179">
        <v>0.72939351769661498</v>
      </c>
      <c r="E234" s="1167">
        <v>2124647.7299999995</v>
      </c>
      <c r="F234" s="1157" t="s">
        <v>119</v>
      </c>
      <c r="G234" s="1179">
        <v>0</v>
      </c>
      <c r="H234" s="1167">
        <v>151814.40000000002</v>
      </c>
      <c r="I234" s="1157" t="s">
        <v>119</v>
      </c>
      <c r="J234" s="1179">
        <v>0</v>
      </c>
      <c r="K234" s="1167">
        <v>149421.83000000002</v>
      </c>
      <c r="L234" s="1157" t="s">
        <v>119</v>
      </c>
      <c r="M234" s="1179">
        <v>0</v>
      </c>
      <c r="N234" s="1167">
        <v>164429.43</v>
      </c>
      <c r="O234" s="1157" t="s">
        <v>119</v>
      </c>
      <c r="P234" s="1179">
        <v>0</v>
      </c>
      <c r="Q234" s="1167">
        <v>199538.48000000004</v>
      </c>
      <c r="R234" s="1157" t="s">
        <v>119</v>
      </c>
      <c r="S234" s="1179">
        <v>0</v>
      </c>
      <c r="T234" s="1167">
        <v>208049.52000000002</v>
      </c>
      <c r="U234" s="1157" t="s">
        <v>119</v>
      </c>
      <c r="V234" s="1179">
        <v>0</v>
      </c>
      <c r="W234" s="1247">
        <v>162730.41</v>
      </c>
      <c r="X234" s="1157" t="s">
        <v>119</v>
      </c>
      <c r="Y234" s="1179">
        <v>0</v>
      </c>
      <c r="Z234" s="1247">
        <v>167802.41</v>
      </c>
      <c r="AA234" s="1157" t="s">
        <v>119</v>
      </c>
      <c r="AB234" s="1179">
        <v>0</v>
      </c>
      <c r="AC234" s="1247">
        <v>176693.59000000003</v>
      </c>
      <c r="AD234" s="1157" t="s">
        <v>119</v>
      </c>
      <c r="AE234" s="1179">
        <v>0</v>
      </c>
      <c r="AF234" s="1247">
        <v>158213.81</v>
      </c>
      <c r="AG234" s="1157" t="s">
        <v>119</v>
      </c>
      <c r="AH234" s="1158">
        <v>0</v>
      </c>
      <c r="AI234" s="1167">
        <v>208967.05</v>
      </c>
      <c r="AJ234" s="1157" t="s">
        <v>119</v>
      </c>
      <c r="AK234" s="1158">
        <v>0</v>
      </c>
      <c r="AL234" s="1167">
        <v>220592.27</v>
      </c>
      <c r="AM234" s="1157" t="s">
        <v>119</v>
      </c>
      <c r="AN234" s="1158">
        <v>0</v>
      </c>
      <c r="AO234" s="1167">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70"/>
      <c r="D236" s="1181"/>
      <c r="E236" s="1173">
        <v>788248.6399999992</v>
      </c>
      <c r="F236" s="1170"/>
      <c r="G236" s="1181"/>
      <c r="H236" s="1173">
        <v>32240.070000000007</v>
      </c>
      <c r="I236" s="1170"/>
      <c r="J236" s="1181"/>
      <c r="K236" s="1173">
        <v>29120.529999999882</v>
      </c>
      <c r="L236" s="1170"/>
      <c r="M236" s="1181"/>
      <c r="N236" s="1173">
        <v>54600.849999999948</v>
      </c>
      <c r="O236" s="1170"/>
      <c r="P236" s="1181"/>
      <c r="Q236" s="1173">
        <v>73863.199999999837</v>
      </c>
      <c r="R236" s="1170"/>
      <c r="S236" s="1181"/>
      <c r="T236" s="1173">
        <v>75992.260000000009</v>
      </c>
      <c r="U236" s="1170"/>
      <c r="V236" s="1181"/>
      <c r="W236" s="1250">
        <v>64050.519999999873</v>
      </c>
      <c r="X236" s="1170"/>
      <c r="Y236" s="1181"/>
      <c r="Z236" s="1250">
        <v>73500.76999999996</v>
      </c>
      <c r="AA236" s="1170"/>
      <c r="AB236" s="1181"/>
      <c r="AC236" s="1250">
        <v>62405.329999999842</v>
      </c>
      <c r="AD236" s="1170"/>
      <c r="AE236" s="1181"/>
      <c r="AF236" s="1250">
        <v>94299.609999999986</v>
      </c>
      <c r="AG236" s="1170"/>
      <c r="AH236" s="1181"/>
      <c r="AI236" s="1173">
        <v>71821.109999999986</v>
      </c>
      <c r="AJ236" s="1170"/>
      <c r="AK236" s="1181"/>
      <c r="AL236" s="1173">
        <v>97016.739999999903</v>
      </c>
      <c r="AM236" s="1170"/>
      <c r="AN236" s="1181"/>
      <c r="AO236" s="1173">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4">
        <v>0</v>
      </c>
      <c r="D247" s="1185">
        <v>0</v>
      </c>
      <c r="E247" s="1164">
        <v>0</v>
      </c>
      <c r="F247" s="1184">
        <v>0</v>
      </c>
      <c r="G247" s="1185">
        <v>0</v>
      </c>
      <c r="H247" s="1164">
        <v>0</v>
      </c>
      <c r="I247" s="1184">
        <v>0</v>
      </c>
      <c r="J247" s="1185">
        <v>0</v>
      </c>
      <c r="K247" s="1164">
        <v>0</v>
      </c>
      <c r="L247" s="1184">
        <v>0</v>
      </c>
      <c r="M247" s="1185">
        <v>0</v>
      </c>
      <c r="N247" s="1164">
        <v>0</v>
      </c>
      <c r="O247" s="1184">
        <v>0</v>
      </c>
      <c r="P247" s="1185">
        <v>0</v>
      </c>
      <c r="Q247" s="1164">
        <v>0</v>
      </c>
      <c r="R247" s="1184">
        <v>0</v>
      </c>
      <c r="S247" s="1185">
        <v>0</v>
      </c>
      <c r="T247" s="1164">
        <v>0</v>
      </c>
      <c r="U247" s="1184">
        <v>0</v>
      </c>
      <c r="V247" s="1185">
        <v>0</v>
      </c>
      <c r="W247" s="1164">
        <v>0</v>
      </c>
      <c r="X247" s="1184">
        <v>0</v>
      </c>
      <c r="Y247" s="1185">
        <v>0</v>
      </c>
      <c r="Z247" s="1164">
        <v>0</v>
      </c>
      <c r="AA247" s="1184">
        <v>0</v>
      </c>
      <c r="AB247" s="1185">
        <v>0</v>
      </c>
      <c r="AC247" s="1164">
        <v>0</v>
      </c>
      <c r="AD247" s="1184">
        <v>0</v>
      </c>
      <c r="AE247" s="1185">
        <v>0</v>
      </c>
      <c r="AF247" s="1164">
        <v>0</v>
      </c>
      <c r="AG247" s="1184">
        <v>0</v>
      </c>
      <c r="AH247" s="1185">
        <v>0</v>
      </c>
      <c r="AI247" s="1164">
        <v>0</v>
      </c>
      <c r="AJ247" s="1184">
        <v>0</v>
      </c>
      <c r="AK247" s="1185">
        <v>0</v>
      </c>
      <c r="AL247" s="1164">
        <v>0</v>
      </c>
      <c r="AM247" s="1184">
        <v>0</v>
      </c>
      <c r="AN247" s="1185">
        <v>0</v>
      </c>
      <c r="AO247" s="1164">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4">
        <v>0</v>
      </c>
      <c r="D250" s="1185">
        <v>0</v>
      </c>
      <c r="E250" s="1164">
        <v>0</v>
      </c>
      <c r="F250" s="1184">
        <v>0</v>
      </c>
      <c r="G250" s="1185">
        <v>0</v>
      </c>
      <c r="H250" s="1164">
        <v>0</v>
      </c>
      <c r="I250" s="1184">
        <v>0</v>
      </c>
      <c r="J250" s="1185">
        <v>0</v>
      </c>
      <c r="K250" s="1164">
        <v>0</v>
      </c>
      <c r="L250" s="1184">
        <v>0</v>
      </c>
      <c r="M250" s="1185">
        <v>0</v>
      </c>
      <c r="N250" s="1164">
        <v>0</v>
      </c>
      <c r="O250" s="1184">
        <v>0</v>
      </c>
      <c r="P250" s="1185">
        <v>0</v>
      </c>
      <c r="Q250" s="1164">
        <v>0</v>
      </c>
      <c r="R250" s="1184">
        <v>0</v>
      </c>
      <c r="S250" s="1185">
        <v>0</v>
      </c>
      <c r="T250" s="1164">
        <v>0</v>
      </c>
      <c r="U250" s="1184">
        <v>0</v>
      </c>
      <c r="V250" s="1185">
        <v>0</v>
      </c>
      <c r="W250" s="1164">
        <v>0</v>
      </c>
      <c r="X250" s="1184">
        <v>0</v>
      </c>
      <c r="Y250" s="1185">
        <v>0</v>
      </c>
      <c r="Z250" s="1164">
        <v>0</v>
      </c>
      <c r="AA250" s="1184">
        <v>0</v>
      </c>
      <c r="AB250" s="1185">
        <v>0</v>
      </c>
      <c r="AC250" s="1164">
        <v>0</v>
      </c>
      <c r="AD250" s="1184">
        <v>0</v>
      </c>
      <c r="AE250" s="1185">
        <v>0</v>
      </c>
      <c r="AF250" s="1164">
        <v>0</v>
      </c>
      <c r="AG250" s="1184">
        <v>0</v>
      </c>
      <c r="AH250" s="1185">
        <v>0</v>
      </c>
      <c r="AI250" s="1164">
        <v>0</v>
      </c>
      <c r="AJ250" s="1184">
        <v>0</v>
      </c>
      <c r="AK250" s="1185">
        <v>0</v>
      </c>
      <c r="AL250" s="1164">
        <v>0</v>
      </c>
      <c r="AM250" s="1184">
        <v>0</v>
      </c>
      <c r="AN250" s="1185">
        <v>0</v>
      </c>
      <c r="AO250" s="1164">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40">
        <v>3584.99</v>
      </c>
      <c r="X253" s="753"/>
      <c r="Y253" s="818">
        <v>50617.07</v>
      </c>
      <c r="Z253" s="1240">
        <v>9648.5899999999892</v>
      </c>
      <c r="AA253" s="753"/>
      <c r="AB253" s="818">
        <v>43848.6</v>
      </c>
      <c r="AC253" s="1240">
        <v>9486.8299999999908</v>
      </c>
      <c r="AD253" s="753"/>
      <c r="AE253" s="818">
        <v>92272.269999999902</v>
      </c>
      <c r="AF253" s="1240">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61">
        <v>0.24949769744648659</v>
      </c>
      <c r="X254" s="756"/>
      <c r="Y254" s="757"/>
      <c r="Z254" s="1261">
        <v>0.19061929108105208</v>
      </c>
      <c r="AA254" s="756"/>
      <c r="AB254" s="757"/>
      <c r="AC254" s="1261">
        <v>0.21635422795710677</v>
      </c>
      <c r="AD254" s="756"/>
      <c r="AE254" s="757"/>
      <c r="AF254" s="1261">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2">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2">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4"/>
      <c r="D259" s="1162"/>
      <c r="E259" s="1164">
        <v>0.95999999999999985</v>
      </c>
      <c r="F259" s="1144"/>
      <c r="G259" s="1162"/>
      <c r="H259" s="1164">
        <v>0.08</v>
      </c>
      <c r="I259" s="1144"/>
      <c r="J259" s="1162"/>
      <c r="K259" s="1164">
        <v>0.08</v>
      </c>
      <c r="L259" s="1144"/>
      <c r="M259" s="1162"/>
      <c r="N259" s="1164">
        <v>0.08</v>
      </c>
      <c r="O259" s="1144"/>
      <c r="P259" s="1162"/>
      <c r="Q259" s="1164">
        <v>0.08</v>
      </c>
      <c r="R259" s="1144"/>
      <c r="S259" s="1162"/>
      <c r="T259" s="1164">
        <v>0.08</v>
      </c>
      <c r="U259" s="1144"/>
      <c r="V259" s="1162"/>
      <c r="W259" s="1164">
        <v>0.08</v>
      </c>
      <c r="X259" s="1144"/>
      <c r="Y259" s="1162"/>
      <c r="Z259" s="1164">
        <v>0.08</v>
      </c>
      <c r="AA259" s="1144"/>
      <c r="AB259" s="1162"/>
      <c r="AC259" s="1164">
        <v>0.08</v>
      </c>
      <c r="AD259" s="1144"/>
      <c r="AE259" s="1162"/>
      <c r="AF259" s="1164">
        <v>0.08</v>
      </c>
      <c r="AG259" s="1144"/>
      <c r="AH259" s="1162"/>
      <c r="AI259" s="1164">
        <v>0.08</v>
      </c>
      <c r="AJ259" s="1144"/>
      <c r="AK259" s="1162"/>
      <c r="AL259" s="1164">
        <v>0.08</v>
      </c>
      <c r="AM259" s="1144"/>
      <c r="AN259" s="1162"/>
      <c r="AO259" s="1245">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2">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2"/>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2"/>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2"/>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2">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4"/>
      <c r="D265" s="1162"/>
      <c r="E265" s="1164">
        <v>16996.59</v>
      </c>
      <c r="F265" s="1144"/>
      <c r="G265" s="1162"/>
      <c r="H265" s="1164">
        <v>1514.63</v>
      </c>
      <c r="I265" s="1144"/>
      <c r="J265" s="1162"/>
      <c r="K265" s="1164">
        <v>1514.91</v>
      </c>
      <c r="L265" s="1144"/>
      <c r="M265" s="1162"/>
      <c r="N265" s="1164">
        <v>1234.45</v>
      </c>
      <c r="O265" s="1144"/>
      <c r="P265" s="1162"/>
      <c r="Q265" s="1164">
        <v>1369.98</v>
      </c>
      <c r="R265" s="1144"/>
      <c r="S265" s="1162"/>
      <c r="T265" s="1164">
        <v>1444.17</v>
      </c>
      <c r="U265" s="1144"/>
      <c r="V265" s="1162"/>
      <c r="W265" s="1164">
        <v>1253.82</v>
      </c>
      <c r="X265" s="1144"/>
      <c r="Y265" s="1162"/>
      <c r="Z265" s="1164">
        <v>1273.5999999999999</v>
      </c>
      <c r="AA265" s="1144"/>
      <c r="AB265" s="1162"/>
      <c r="AC265" s="1164">
        <v>1352.19</v>
      </c>
      <c r="AD265" s="1144"/>
      <c r="AE265" s="1162"/>
      <c r="AF265" s="1164">
        <v>1443.66</v>
      </c>
      <c r="AG265" s="1144"/>
      <c r="AH265" s="1162"/>
      <c r="AI265" s="1164">
        <v>1628.76</v>
      </c>
      <c r="AJ265" s="1144"/>
      <c r="AK265" s="1162"/>
      <c r="AL265" s="1164">
        <v>1353.77</v>
      </c>
      <c r="AM265" s="1144"/>
      <c r="AN265" s="1162"/>
      <c r="AO265" s="1245">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2">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2">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7" t="s">
        <v>119</v>
      </c>
      <c r="D269" s="1158">
        <v>0</v>
      </c>
      <c r="E269" s="1159">
        <v>92774.95</v>
      </c>
      <c r="F269" s="1157" t="s">
        <v>119</v>
      </c>
      <c r="G269" s="1158">
        <v>0</v>
      </c>
      <c r="H269" s="1159">
        <v>7400</v>
      </c>
      <c r="I269" s="1157" t="s">
        <v>119</v>
      </c>
      <c r="J269" s="1158">
        <v>0</v>
      </c>
      <c r="K269" s="1159">
        <v>6635.91</v>
      </c>
      <c r="L269" s="1157" t="s">
        <v>119</v>
      </c>
      <c r="M269" s="1158">
        <v>0</v>
      </c>
      <c r="N269" s="1159">
        <v>7108.8499999999985</v>
      </c>
      <c r="O269" s="1157" t="s">
        <v>119</v>
      </c>
      <c r="P269" s="1158">
        <v>0</v>
      </c>
      <c r="Q269" s="1159">
        <v>7749.15</v>
      </c>
      <c r="R269" s="1157" t="s">
        <v>119</v>
      </c>
      <c r="S269" s="1158">
        <v>0</v>
      </c>
      <c r="T269" s="1159">
        <v>8523.0799999999981</v>
      </c>
      <c r="U269" s="1157" t="s">
        <v>119</v>
      </c>
      <c r="V269" s="1158">
        <v>0</v>
      </c>
      <c r="W269" s="1244">
        <v>6317.96</v>
      </c>
      <c r="X269" s="1157" t="s">
        <v>119</v>
      </c>
      <c r="Y269" s="1158">
        <v>0</v>
      </c>
      <c r="Z269" s="1244">
        <v>4920.24</v>
      </c>
      <c r="AA269" s="1157" t="s">
        <v>119</v>
      </c>
      <c r="AB269" s="1158">
        <v>0</v>
      </c>
      <c r="AC269" s="1244">
        <v>7697.5000000000009</v>
      </c>
      <c r="AD269" s="1157" t="s">
        <v>119</v>
      </c>
      <c r="AE269" s="1158">
        <v>0</v>
      </c>
      <c r="AF269" s="1244">
        <v>8123.86</v>
      </c>
      <c r="AG269" s="1157" t="s">
        <v>119</v>
      </c>
      <c r="AH269" s="1158">
        <v>0</v>
      </c>
      <c r="AI269" s="1159">
        <v>10035.99</v>
      </c>
      <c r="AJ269" s="1157" t="s">
        <v>119</v>
      </c>
      <c r="AK269" s="1158">
        <v>0</v>
      </c>
      <c r="AL269" s="1159">
        <v>8852.2100000000009</v>
      </c>
      <c r="AM269" s="1157" t="s">
        <v>119</v>
      </c>
      <c r="AN269" s="1158">
        <v>0</v>
      </c>
      <c r="AO269" s="1159">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2">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2">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3">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2">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2">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3">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2">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2">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2">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2">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2">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2">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2">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2">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2">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9">
        <v>0</v>
      </c>
      <c r="E288" s="777">
        <v>53307.710000000006</v>
      </c>
      <c r="F288" s="776" t="s">
        <v>119</v>
      </c>
      <c r="G288" s="1169">
        <v>0</v>
      </c>
      <c r="H288" s="777">
        <v>15678.189999999997</v>
      </c>
      <c r="I288" s="776" t="s">
        <v>119</v>
      </c>
      <c r="J288" s="1169">
        <v>0</v>
      </c>
      <c r="K288" s="777">
        <v>2950.36</v>
      </c>
      <c r="L288" s="776" t="s">
        <v>119</v>
      </c>
      <c r="M288" s="1169">
        <v>0</v>
      </c>
      <c r="N288" s="777">
        <v>4025.41</v>
      </c>
      <c r="O288" s="776" t="s">
        <v>119</v>
      </c>
      <c r="P288" s="1169">
        <v>0</v>
      </c>
      <c r="Q288" s="777">
        <v>4052.7599999999993</v>
      </c>
      <c r="R288" s="776" t="s">
        <v>119</v>
      </c>
      <c r="S288" s="1169">
        <v>0</v>
      </c>
      <c r="T288" s="777">
        <v>3809.61</v>
      </c>
      <c r="U288" s="776" t="s">
        <v>119</v>
      </c>
      <c r="V288" s="1169">
        <v>0</v>
      </c>
      <c r="W288" s="1248">
        <v>2934.7399999999993</v>
      </c>
      <c r="X288" s="776" t="s">
        <v>119</v>
      </c>
      <c r="Y288" s="1169">
        <v>0</v>
      </c>
      <c r="Z288" s="1248">
        <v>3398.75</v>
      </c>
      <c r="AA288" s="776" t="s">
        <v>119</v>
      </c>
      <c r="AB288" s="1169">
        <v>0</v>
      </c>
      <c r="AC288" s="1248">
        <v>3080.8100000000004</v>
      </c>
      <c r="AD288" s="776" t="s">
        <v>119</v>
      </c>
      <c r="AE288" s="1169">
        <v>0</v>
      </c>
      <c r="AF288" s="1248">
        <v>3380.19</v>
      </c>
      <c r="AG288" s="776" t="s">
        <v>119</v>
      </c>
      <c r="AH288" s="1158">
        <v>0</v>
      </c>
      <c r="AI288" s="777">
        <v>3495.0999999999995</v>
      </c>
      <c r="AJ288" s="776" t="s">
        <v>119</v>
      </c>
      <c r="AK288" s="1158">
        <v>0</v>
      </c>
      <c r="AL288" s="777">
        <v>4670.18</v>
      </c>
      <c r="AM288" s="776" t="s">
        <v>119</v>
      </c>
      <c r="AN288" s="1158">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7" t="s">
        <v>119</v>
      </c>
      <c r="D290" s="1179">
        <v>0</v>
      </c>
      <c r="E290" s="1167">
        <v>146082.66</v>
      </c>
      <c r="F290" s="1157" t="s">
        <v>119</v>
      </c>
      <c r="G290" s="1179">
        <v>0</v>
      </c>
      <c r="H290" s="1167">
        <v>23078.189999999995</v>
      </c>
      <c r="I290" s="1157" t="s">
        <v>119</v>
      </c>
      <c r="J290" s="1179">
        <v>0</v>
      </c>
      <c r="K290" s="1167">
        <v>9586.27</v>
      </c>
      <c r="L290" s="1157" t="s">
        <v>119</v>
      </c>
      <c r="M290" s="1179">
        <v>0</v>
      </c>
      <c r="N290" s="1167">
        <v>11134.259999999998</v>
      </c>
      <c r="O290" s="1157" t="s">
        <v>119</v>
      </c>
      <c r="P290" s="1179">
        <v>0</v>
      </c>
      <c r="Q290" s="1167">
        <v>11801.91</v>
      </c>
      <c r="R290" s="1157" t="s">
        <v>119</v>
      </c>
      <c r="S290" s="1179">
        <v>0</v>
      </c>
      <c r="T290" s="1167">
        <v>12332.689999999999</v>
      </c>
      <c r="U290" s="1157" t="s">
        <v>119</v>
      </c>
      <c r="V290" s="1179">
        <v>0</v>
      </c>
      <c r="W290" s="1247">
        <v>9252.6999999999989</v>
      </c>
      <c r="X290" s="1157" t="s">
        <v>119</v>
      </c>
      <c r="Y290" s="1179">
        <v>0</v>
      </c>
      <c r="Z290" s="1247">
        <v>8318.99</v>
      </c>
      <c r="AA290" s="1157" t="s">
        <v>119</v>
      </c>
      <c r="AB290" s="1179">
        <v>0</v>
      </c>
      <c r="AC290" s="1247">
        <v>10778.310000000001</v>
      </c>
      <c r="AD290" s="1157" t="s">
        <v>119</v>
      </c>
      <c r="AE290" s="1179">
        <v>0</v>
      </c>
      <c r="AF290" s="1247">
        <v>11504.05</v>
      </c>
      <c r="AG290" s="1157" t="s">
        <v>119</v>
      </c>
      <c r="AH290" s="1158">
        <v>0</v>
      </c>
      <c r="AI290" s="1167">
        <v>13531.09</v>
      </c>
      <c r="AJ290" s="1157" t="s">
        <v>119</v>
      </c>
      <c r="AK290" s="1158">
        <v>0</v>
      </c>
      <c r="AL290" s="1167">
        <v>13522.390000000001</v>
      </c>
      <c r="AM290" s="1157" t="s">
        <v>119</v>
      </c>
      <c r="AN290" s="1158">
        <v>0</v>
      </c>
      <c r="AO290" s="1167">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70"/>
      <c r="D292" s="1181"/>
      <c r="E292" s="1173">
        <v>-46337.800000000134</v>
      </c>
      <c r="F292" s="1170"/>
      <c r="G292" s="1181"/>
      <c r="H292" s="1173">
        <v>-20798.630000000005</v>
      </c>
      <c r="I292" s="1170"/>
      <c r="J292" s="1181"/>
      <c r="K292" s="1173">
        <v>-4680.3600000000006</v>
      </c>
      <c r="L292" s="1170"/>
      <c r="M292" s="1181"/>
      <c r="N292" s="1173">
        <v>-8391.4299999999985</v>
      </c>
      <c r="O292" s="1170"/>
      <c r="P292" s="1181"/>
      <c r="Q292" s="1173">
        <v>-7486.32</v>
      </c>
      <c r="R292" s="1170"/>
      <c r="S292" s="1181"/>
      <c r="T292" s="1173">
        <v>-10303.700000000008</v>
      </c>
      <c r="U292" s="1170"/>
      <c r="V292" s="1181"/>
      <c r="W292" s="1250">
        <v>-5667.7099999999991</v>
      </c>
      <c r="X292" s="1170"/>
      <c r="Y292" s="1181"/>
      <c r="Z292" s="1250">
        <v>1329.5999999999894</v>
      </c>
      <c r="AA292" s="1170"/>
      <c r="AB292" s="1181"/>
      <c r="AC292" s="1250">
        <v>-1291.4800000000105</v>
      </c>
      <c r="AD292" s="1170"/>
      <c r="AE292" s="1181"/>
      <c r="AF292" s="1250">
        <v>1514.9500000000007</v>
      </c>
      <c r="AG292" s="1170"/>
      <c r="AH292" s="1181"/>
      <c r="AI292" s="1173">
        <v>1145.6199999999008</v>
      </c>
      <c r="AJ292" s="1170"/>
      <c r="AK292" s="1181"/>
      <c r="AL292" s="1173">
        <v>7915.83</v>
      </c>
      <c r="AM292" s="1170"/>
      <c r="AN292" s="1181"/>
      <c r="AO292" s="1173">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201">
        <v>5762600.6299999999</v>
      </c>
      <c r="D307" s="1202">
        <v>0.27260636661541426</v>
      </c>
      <c r="E307" s="1203">
        <v>1570921.6199999973</v>
      </c>
      <c r="F307" s="1201">
        <v>452555.05</v>
      </c>
      <c r="G307" s="1202">
        <v>0.22191835004382293</v>
      </c>
      <c r="H307" s="1203">
        <v>100430.26999999979</v>
      </c>
      <c r="I307" s="1201">
        <v>434207.58999999997</v>
      </c>
      <c r="J307" s="1202">
        <v>0.21091211233778734</v>
      </c>
      <c r="K307" s="1203">
        <v>91579.639999999898</v>
      </c>
      <c r="L307" s="1201">
        <v>498001.61999999994</v>
      </c>
      <c r="M307" s="1202">
        <v>0.22684068778732047</v>
      </c>
      <c r="N307" s="1203">
        <v>112967.0299999998</v>
      </c>
      <c r="O307" s="1201">
        <v>390522.06</v>
      </c>
      <c r="P307" s="1202">
        <v>0.24476921995136403</v>
      </c>
      <c r="Q307" s="1203">
        <v>95587.779999999781</v>
      </c>
      <c r="R307" s="1201">
        <v>480803.73</v>
      </c>
      <c r="S307" s="1202">
        <v>0.26870409262423939</v>
      </c>
      <c r="T307" s="1203">
        <v>129193.92999999979</v>
      </c>
      <c r="U307" s="1201">
        <v>414656.36</v>
      </c>
      <c r="V307" s="1202">
        <v>0.23840678580210298</v>
      </c>
      <c r="W307" s="1203">
        <v>98856.889999999694</v>
      </c>
      <c r="X307" s="1201">
        <v>477364.30000000005</v>
      </c>
      <c r="Y307" s="1202">
        <v>0.23494088267597682</v>
      </c>
      <c r="Z307" s="1203">
        <v>112152.38999999981</v>
      </c>
      <c r="AA307" s="1201">
        <v>481221.60999999993</v>
      </c>
      <c r="AB307" s="1202">
        <v>0.39286949312188957</v>
      </c>
      <c r="AC307" s="1203">
        <v>189057.2899999996</v>
      </c>
      <c r="AD307" s="1201">
        <v>546586.39</v>
      </c>
      <c r="AE307" s="1202">
        <v>0.24262570826178054</v>
      </c>
      <c r="AF307" s="1203">
        <v>132615.9099999998</v>
      </c>
      <c r="AG307" s="1201">
        <v>571992.03</v>
      </c>
      <c r="AH307" s="1202">
        <v>0.25720753486722481</v>
      </c>
      <c r="AI307" s="1203">
        <v>147120.65999999971</v>
      </c>
      <c r="AJ307" s="1201">
        <v>519946.65</v>
      </c>
      <c r="AK307" s="1202">
        <v>0.2925453409498836</v>
      </c>
      <c r="AL307" s="1203">
        <v>152107.9699999998</v>
      </c>
      <c r="AM307" s="1201">
        <v>494743.24</v>
      </c>
      <c r="AN307" s="1202">
        <v>0.42295041767523694</v>
      </c>
      <c r="AO307" s="1203">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201">
        <v>6674615.9299999997</v>
      </c>
      <c r="D312" s="1202">
        <v>0.26375567500256109</v>
      </c>
      <c r="E312" s="1203">
        <v>1760467.829999997</v>
      </c>
      <c r="F312" s="1201">
        <v>522678.73000000004</v>
      </c>
      <c r="G312" s="1202">
        <v>0.21433541020504082</v>
      </c>
      <c r="H312" s="1203">
        <v>112028.55999999978</v>
      </c>
      <c r="I312" s="1201">
        <v>499700.52999999997</v>
      </c>
      <c r="J312" s="1202">
        <v>0.20826199644014765</v>
      </c>
      <c r="K312" s="1203">
        <v>104068.62999999989</v>
      </c>
      <c r="L312" s="1201">
        <v>543573.29999999993</v>
      </c>
      <c r="M312" s="1202">
        <v>0.22496953032829206</v>
      </c>
      <c r="N312" s="1203">
        <v>122287.42999999979</v>
      </c>
      <c r="O312" s="1201">
        <v>459979.70999999996</v>
      </c>
      <c r="P312" s="1202">
        <v>0.23859778510665131</v>
      </c>
      <c r="Q312" s="1203">
        <v>109750.13999999978</v>
      </c>
      <c r="R312" s="1201">
        <v>551904.46999999986</v>
      </c>
      <c r="S312" s="1202">
        <v>0.26117565237331708</v>
      </c>
      <c r="T312" s="1203">
        <v>144144.00999999978</v>
      </c>
      <c r="U312" s="1201">
        <v>464116.17</v>
      </c>
      <c r="V312" s="1202">
        <v>0.23573037759059268</v>
      </c>
      <c r="W312" s="1203">
        <v>109406.27999999969</v>
      </c>
      <c r="X312" s="1201">
        <v>535619.36</v>
      </c>
      <c r="Y312" s="1202">
        <v>0.23353681614495755</v>
      </c>
      <c r="Z312" s="1203">
        <v>125086.83999999982</v>
      </c>
      <c r="AA312" s="1201">
        <v>527546.35</v>
      </c>
      <c r="AB312" s="1202">
        <v>0.3791732423132102</v>
      </c>
      <c r="AC312" s="1203">
        <v>200031.45999999958</v>
      </c>
      <c r="AD312" s="1201">
        <v>611091.30999999994</v>
      </c>
      <c r="AE312" s="1202">
        <v>0.24148594094718809</v>
      </c>
      <c r="AF312" s="1203">
        <v>147569.95999999979</v>
      </c>
      <c r="AG312" s="1201">
        <v>668392.49</v>
      </c>
      <c r="AH312" s="1202">
        <v>0.25110579863038218</v>
      </c>
      <c r="AI312" s="1203">
        <v>167837.22999999972</v>
      </c>
      <c r="AJ312" s="1201">
        <v>701952.35000000009</v>
      </c>
      <c r="AK312" s="1202">
        <v>0.27043086329150356</v>
      </c>
      <c r="AL312" s="1203">
        <v>189829.5799999997</v>
      </c>
      <c r="AM312" s="1201">
        <v>588061.15999999992</v>
      </c>
      <c r="AN312" s="1202">
        <v>0.38844209673701291</v>
      </c>
      <c r="AO312" s="1203">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40">
        <v>109406.27999999969</v>
      </c>
      <c r="X317" s="753">
        <v>535619.36</v>
      </c>
      <c r="Y317" s="825">
        <v>0.23353681614495755</v>
      </c>
      <c r="Z317" s="1240">
        <v>125086.83999999982</v>
      </c>
      <c r="AA317" s="753">
        <v>527546.35</v>
      </c>
      <c r="AB317" s="825">
        <v>0.3791732423132102</v>
      </c>
      <c r="AC317" s="1240">
        <v>200031.45999999958</v>
      </c>
      <c r="AD317" s="753">
        <v>611091.30999999994</v>
      </c>
      <c r="AE317" s="825">
        <v>0.24148594094718809</v>
      </c>
      <c r="AF317" s="1240">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5"/>
      <c r="D318" s="1206"/>
      <c r="E318" s="1207"/>
      <c r="F318" s="1205"/>
      <c r="G318" s="1206"/>
      <c r="H318" s="1207"/>
      <c r="I318" s="1205"/>
      <c r="J318" s="1206"/>
      <c r="K318" s="1207"/>
      <c r="L318" s="1205"/>
      <c r="M318" s="1206"/>
      <c r="N318" s="1207"/>
      <c r="O318" s="1205"/>
      <c r="P318" s="1206"/>
      <c r="Q318" s="1207"/>
      <c r="R318" s="1205"/>
      <c r="S318" s="1206"/>
      <c r="T318" s="1207"/>
      <c r="U318" s="1205"/>
      <c r="V318" s="1206"/>
      <c r="W318" s="1262"/>
      <c r="X318" s="1205"/>
      <c r="Y318" s="1206"/>
      <c r="Z318" s="1262"/>
      <c r="AA318" s="1205"/>
      <c r="AB318" s="1206"/>
      <c r="AC318" s="1262"/>
      <c r="AD318" s="1205"/>
      <c r="AE318" s="1206"/>
      <c r="AF318" s="1262"/>
      <c r="AG318" s="1205"/>
      <c r="AH318" s="1206"/>
      <c r="AI318" s="1207"/>
      <c r="AJ318" s="1205"/>
      <c r="AK318" s="1206"/>
      <c r="AL318" s="1207"/>
      <c r="AM318" s="1205"/>
      <c r="AN318" s="1206"/>
      <c r="AO318" s="120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9"/>
      <c r="X319" s="826"/>
      <c r="Y319" s="827"/>
      <c r="Z319" s="1249"/>
      <c r="AA319" s="826"/>
      <c r="AB319" s="827"/>
      <c r="AC319" s="1249"/>
      <c r="AD319" s="826"/>
      <c r="AE319" s="827"/>
      <c r="AF319" s="1249"/>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3"/>
      <c r="I320" s="744"/>
      <c r="J320" s="751"/>
      <c r="K320" s="1263"/>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2">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2">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4"/>
      <c r="D323" s="1162"/>
      <c r="E323" s="1164">
        <v>1367.0400000000002</v>
      </c>
      <c r="F323" s="1144"/>
      <c r="G323" s="1162"/>
      <c r="H323" s="1164">
        <v>113.92</v>
      </c>
      <c r="I323" s="1144"/>
      <c r="J323" s="1162"/>
      <c r="K323" s="1164">
        <v>113.92</v>
      </c>
      <c r="L323" s="1144"/>
      <c r="M323" s="1162"/>
      <c r="N323" s="1164">
        <v>113.92</v>
      </c>
      <c r="O323" s="1144"/>
      <c r="P323" s="1162"/>
      <c r="Q323" s="1164">
        <v>113.92</v>
      </c>
      <c r="R323" s="1144"/>
      <c r="S323" s="1162"/>
      <c r="T323" s="1164">
        <v>113.92</v>
      </c>
      <c r="U323" s="1144"/>
      <c r="V323" s="1162"/>
      <c r="W323" s="1164">
        <v>113.92</v>
      </c>
      <c r="X323" s="1144"/>
      <c r="Y323" s="1162"/>
      <c r="Z323" s="1164">
        <v>113.92</v>
      </c>
      <c r="AA323" s="1144"/>
      <c r="AB323" s="1162"/>
      <c r="AC323" s="1164">
        <v>113.92</v>
      </c>
      <c r="AD323" s="1144"/>
      <c r="AE323" s="1162"/>
      <c r="AF323" s="1164">
        <v>113.92</v>
      </c>
      <c r="AG323" s="1144"/>
      <c r="AH323" s="1162"/>
      <c r="AI323" s="1164">
        <v>113.92</v>
      </c>
      <c r="AJ323" s="1144"/>
      <c r="AK323" s="1162"/>
      <c r="AL323" s="1164">
        <v>113.92</v>
      </c>
      <c r="AM323" s="1144"/>
      <c r="AN323" s="1162"/>
      <c r="AO323" s="1245">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2">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2"/>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2"/>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2"/>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2">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4"/>
      <c r="D329" s="1162"/>
      <c r="E329" s="1164">
        <v>70618.63</v>
      </c>
      <c r="F329" s="1144"/>
      <c r="G329" s="1162"/>
      <c r="H329" s="1164">
        <v>9261.6</v>
      </c>
      <c r="I329" s="1144"/>
      <c r="J329" s="1162"/>
      <c r="K329" s="1164">
        <v>8266.7199999999993</v>
      </c>
      <c r="L329" s="1144"/>
      <c r="M329" s="1162"/>
      <c r="N329" s="1164">
        <v>4791.7</v>
      </c>
      <c r="O329" s="1144"/>
      <c r="P329" s="1162"/>
      <c r="Q329" s="1164">
        <v>4954.4799999999996</v>
      </c>
      <c r="R329" s="1144"/>
      <c r="S329" s="1162"/>
      <c r="T329" s="1264">
        <v>6165.28</v>
      </c>
      <c r="U329" s="1144"/>
      <c r="V329" s="1162"/>
      <c r="W329" s="1164">
        <v>8011.01</v>
      </c>
      <c r="X329" s="1144"/>
      <c r="Y329" s="1162"/>
      <c r="Z329" s="1164">
        <v>6835.35</v>
      </c>
      <c r="AA329" s="1144"/>
      <c r="AB329" s="1162"/>
      <c r="AC329" s="1164">
        <v>4964.9399999999996</v>
      </c>
      <c r="AD329" s="1144"/>
      <c r="AE329" s="1162"/>
      <c r="AF329" s="1164">
        <v>301.86</v>
      </c>
      <c r="AG329" s="1144"/>
      <c r="AH329" s="1162"/>
      <c r="AI329" s="1164">
        <v>6057.79</v>
      </c>
      <c r="AJ329" s="1144"/>
      <c r="AK329" s="1162"/>
      <c r="AL329" s="1164">
        <v>5788.36</v>
      </c>
      <c r="AM329" s="1144"/>
      <c r="AN329" s="1162"/>
      <c r="AO329" s="1245">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2">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8">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2">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5"/>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7" t="s">
        <v>119</v>
      </c>
      <c r="D333" s="1158">
        <v>0.3175250580977676</v>
      </c>
      <c r="E333" s="1159">
        <v>558992.64999999991</v>
      </c>
      <c r="F333" s="1157"/>
      <c r="G333" s="1158"/>
      <c r="H333" s="1159">
        <v>55888.6899999999</v>
      </c>
      <c r="I333" s="1157"/>
      <c r="J333" s="1158"/>
      <c r="K333" s="1159">
        <v>48551.14</v>
      </c>
      <c r="L333" s="1157"/>
      <c r="M333" s="1158"/>
      <c r="N333" s="1159">
        <v>46759.589999999902</v>
      </c>
      <c r="O333" s="1157"/>
      <c r="P333" s="1158"/>
      <c r="Q333" s="1159">
        <v>45481.24</v>
      </c>
      <c r="R333" s="1157"/>
      <c r="S333" s="1158"/>
      <c r="T333" s="1159">
        <v>54215.519999999997</v>
      </c>
      <c r="U333" s="1157"/>
      <c r="V333" s="1158"/>
      <c r="W333" s="1244">
        <v>44217.45</v>
      </c>
      <c r="X333" s="1157"/>
      <c r="Y333" s="1158"/>
      <c r="Z333" s="1244">
        <v>44230.3299999999</v>
      </c>
      <c r="AA333" s="1157"/>
      <c r="AB333" s="1158"/>
      <c r="AC333" s="1244">
        <v>44346.599999999897</v>
      </c>
      <c r="AD333" s="1157"/>
      <c r="AE333" s="1158"/>
      <c r="AF333" s="1244">
        <v>40211.19</v>
      </c>
      <c r="AG333" s="1157"/>
      <c r="AH333" s="1158"/>
      <c r="AI333" s="1159">
        <v>51221.23</v>
      </c>
      <c r="AJ333" s="1157"/>
      <c r="AK333" s="1158"/>
      <c r="AL333" s="1159">
        <v>40926.82</v>
      </c>
      <c r="AM333" s="1157"/>
      <c r="AN333" s="1158"/>
      <c r="AO333" s="1159">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2">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2">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3">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2">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2">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3">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2">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2">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2">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2">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2">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2">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2">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2">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2">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7" t="s">
        <v>119</v>
      </c>
      <c r="D352" s="1158">
        <v>0.2089919814098509</v>
      </c>
      <c r="E352" s="1159">
        <v>367923.65999999992</v>
      </c>
      <c r="F352" s="1157" t="s">
        <v>119</v>
      </c>
      <c r="G352" s="1158">
        <v>0.25974590765069244</v>
      </c>
      <c r="H352" s="1159">
        <v>29098.959999999999</v>
      </c>
      <c r="I352" s="1157" t="s">
        <v>119</v>
      </c>
      <c r="J352" s="1158">
        <v>0.34608104286565533</v>
      </c>
      <c r="K352" s="1159">
        <v>36016.179999999986</v>
      </c>
      <c r="L352" s="1157" t="s">
        <v>119</v>
      </c>
      <c r="M352" s="1158">
        <v>0.27045927778513346</v>
      </c>
      <c r="N352" s="1159">
        <v>33073.770000000004</v>
      </c>
      <c r="O352" s="1157" t="s">
        <v>119</v>
      </c>
      <c r="P352" s="1158">
        <v>0.33258353930118056</v>
      </c>
      <c r="Q352" s="1159">
        <v>36501.089999999997</v>
      </c>
      <c r="R352" s="1157" t="s">
        <v>119</v>
      </c>
      <c r="S352" s="1158">
        <v>0.24405564962428927</v>
      </c>
      <c r="T352" s="1159">
        <v>35179.159999999996</v>
      </c>
      <c r="U352" s="1157" t="s">
        <v>119</v>
      </c>
      <c r="V352" s="1158">
        <v>0.25678918979788062</v>
      </c>
      <c r="W352" s="1244">
        <v>28094.349999999995</v>
      </c>
      <c r="X352" s="1157" t="s">
        <v>119</v>
      </c>
      <c r="Y352" s="1158">
        <v>0.23093852238972576</v>
      </c>
      <c r="Z352" s="1244">
        <v>28887.370000000003</v>
      </c>
      <c r="AA352" s="1157" t="s">
        <v>119</v>
      </c>
      <c r="AB352" s="1158">
        <v>0.14994146420768045</v>
      </c>
      <c r="AC352" s="1244">
        <v>29993.010000000002</v>
      </c>
      <c r="AD352" s="1157" t="s">
        <v>119</v>
      </c>
      <c r="AE352" s="1158">
        <v>0.16511172056968798</v>
      </c>
      <c r="AF352" s="1244">
        <v>24365.53</v>
      </c>
      <c r="AG352" s="1157" t="s">
        <v>119</v>
      </c>
      <c r="AH352" s="1158">
        <v>0.18027996529733034</v>
      </c>
      <c r="AI352" s="1159">
        <v>30257.69</v>
      </c>
      <c r="AJ352" s="1157" t="s">
        <v>119</v>
      </c>
      <c r="AK352" s="1158">
        <v>0.19705917275906143</v>
      </c>
      <c r="AL352" s="1159">
        <v>37407.660000000011</v>
      </c>
      <c r="AM352" s="1157" t="s">
        <v>119</v>
      </c>
      <c r="AN352" s="1158">
        <v>8.3391327610822671E-2</v>
      </c>
      <c r="AO352" s="1159">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7" t="s">
        <v>119</v>
      </c>
      <c r="D354" s="1179">
        <v>0.52651703950761852</v>
      </c>
      <c r="E354" s="1167">
        <v>926916.30999999982</v>
      </c>
      <c r="F354" s="1157" t="s">
        <v>119</v>
      </c>
      <c r="G354" s="1179">
        <v>0.75862485423359971</v>
      </c>
      <c r="H354" s="1167">
        <v>84987.649999999907</v>
      </c>
      <c r="I354" s="1157" t="s">
        <v>119</v>
      </c>
      <c r="J354" s="1179">
        <v>0.81261106252671977</v>
      </c>
      <c r="K354" s="1167">
        <v>84567.319999999978</v>
      </c>
      <c r="L354" s="1157" t="s">
        <v>119</v>
      </c>
      <c r="M354" s="1179">
        <v>0.65283373769487207</v>
      </c>
      <c r="N354" s="1167">
        <v>79833.359999999899</v>
      </c>
      <c r="O354" s="1157" t="s">
        <v>119</v>
      </c>
      <c r="P354" s="1179">
        <v>0.74699066443104445</v>
      </c>
      <c r="Q354" s="1167">
        <v>81982.329999999987</v>
      </c>
      <c r="R354" s="1157" t="s">
        <v>119</v>
      </c>
      <c r="S354" s="1179">
        <v>0.62017616965144884</v>
      </c>
      <c r="T354" s="1167">
        <v>89394.68</v>
      </c>
      <c r="U354" s="1157" t="s">
        <v>119</v>
      </c>
      <c r="V354" s="1179">
        <v>0.66094743373049691</v>
      </c>
      <c r="W354" s="1247">
        <v>72311.799999999988</v>
      </c>
      <c r="X354" s="1157" t="s">
        <v>119</v>
      </c>
      <c r="Y354" s="1179">
        <v>0.58453551148945804</v>
      </c>
      <c r="Z354" s="1247">
        <v>73117.699999999895</v>
      </c>
      <c r="AA354" s="1157" t="s">
        <v>119</v>
      </c>
      <c r="AB354" s="1179">
        <v>0.37163959109232142</v>
      </c>
      <c r="AC354" s="1247">
        <v>74339.609999999899</v>
      </c>
      <c r="AD354" s="1157" t="s">
        <v>119</v>
      </c>
      <c r="AE354" s="1179">
        <v>0.43760071494225583</v>
      </c>
      <c r="AF354" s="1247">
        <v>64576.72</v>
      </c>
      <c r="AG354" s="1157" t="s">
        <v>119</v>
      </c>
      <c r="AH354" s="1179">
        <v>0.48546392239671815</v>
      </c>
      <c r="AI354" s="1167">
        <v>81478.92</v>
      </c>
      <c r="AJ354" s="1157" t="s">
        <v>119</v>
      </c>
      <c r="AK354" s="1179">
        <v>0.41265686833421922</v>
      </c>
      <c r="AL354" s="1167">
        <v>78334.48000000001</v>
      </c>
      <c r="AM354" s="1157" t="s">
        <v>119</v>
      </c>
      <c r="AN354" s="1179">
        <v>0.27138450059320735</v>
      </c>
      <c r="AO354" s="1167">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70"/>
      <c r="D356" s="1181"/>
      <c r="E356" s="1173">
        <v>833551.51999999722</v>
      </c>
      <c r="F356" s="1170"/>
      <c r="G356" s="1181"/>
      <c r="H356" s="1173">
        <v>27040.909999999873</v>
      </c>
      <c r="I356" s="1170"/>
      <c r="J356" s="1181"/>
      <c r="K356" s="1173">
        <v>19501.30999999991</v>
      </c>
      <c r="L356" s="1170"/>
      <c r="M356" s="1181"/>
      <c r="N356" s="1173">
        <v>42454.069999999891</v>
      </c>
      <c r="O356" s="1170"/>
      <c r="P356" s="1181"/>
      <c r="Q356" s="1173">
        <v>27767.809999999794</v>
      </c>
      <c r="R356" s="1170"/>
      <c r="S356" s="1181"/>
      <c r="T356" s="1173">
        <v>54749.329999999783</v>
      </c>
      <c r="U356" s="1170"/>
      <c r="V356" s="1181"/>
      <c r="W356" s="1250">
        <v>37094.479999999705</v>
      </c>
      <c r="X356" s="1170"/>
      <c r="Y356" s="1181"/>
      <c r="Z356" s="1250">
        <v>51969.139999999927</v>
      </c>
      <c r="AA356" s="1170"/>
      <c r="AB356" s="1181"/>
      <c r="AC356" s="1250">
        <v>125691.84999999969</v>
      </c>
      <c r="AD356" s="1170"/>
      <c r="AE356" s="1181"/>
      <c r="AF356" s="1250">
        <v>82993.239999999787</v>
      </c>
      <c r="AG356" s="1170"/>
      <c r="AH356" s="1181"/>
      <c r="AI356" s="1173">
        <v>86358.309999999721</v>
      </c>
      <c r="AJ356" s="1170"/>
      <c r="AK356" s="1181"/>
      <c r="AL356" s="1173">
        <v>111495.09999999969</v>
      </c>
      <c r="AM356" s="1170"/>
      <c r="AN356" s="1181"/>
      <c r="AO356" s="1173">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40">
        <v>0</v>
      </c>
      <c r="X363" s="753">
        <v>0</v>
      </c>
      <c r="Y363" s="825">
        <v>0</v>
      </c>
      <c r="Z363" s="1240">
        <v>0</v>
      </c>
      <c r="AA363" s="753">
        <v>0</v>
      </c>
      <c r="AB363" s="825">
        <v>0</v>
      </c>
      <c r="AC363" s="1240">
        <v>0</v>
      </c>
      <c r="AD363" s="753">
        <v>0</v>
      </c>
      <c r="AE363" s="825">
        <v>0</v>
      </c>
      <c r="AF363" s="1240">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5"/>
      <c r="D364" s="1206"/>
      <c r="E364" s="1207"/>
      <c r="F364" s="1205"/>
      <c r="G364" s="1206"/>
      <c r="H364" s="1207"/>
      <c r="I364" s="1205"/>
      <c r="J364" s="1206"/>
      <c r="K364" s="1207"/>
      <c r="L364" s="1205"/>
      <c r="M364" s="1206"/>
      <c r="N364" s="1207"/>
      <c r="O364" s="1205"/>
      <c r="P364" s="1206"/>
      <c r="Q364" s="1207"/>
      <c r="R364" s="1205"/>
      <c r="S364" s="1206"/>
      <c r="T364" s="1207"/>
      <c r="U364" s="1205"/>
      <c r="V364" s="1206"/>
      <c r="W364" s="1262"/>
      <c r="X364" s="1205"/>
      <c r="Y364" s="1206"/>
      <c r="Z364" s="1262"/>
      <c r="AA364" s="1205"/>
      <c r="AB364" s="1206"/>
      <c r="AC364" s="1262"/>
      <c r="AD364" s="1205"/>
      <c r="AE364" s="1206"/>
      <c r="AF364" s="1262"/>
      <c r="AG364" s="1205"/>
      <c r="AH364" s="1206"/>
      <c r="AI364" s="1207"/>
      <c r="AJ364" s="1205"/>
      <c r="AK364" s="1206"/>
      <c r="AL364" s="1207"/>
      <c r="AM364" s="1205"/>
      <c r="AN364" s="1206"/>
      <c r="AO364" s="120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9">
        <v>0</v>
      </c>
      <c r="X365" s="826">
        <v>0</v>
      </c>
      <c r="Y365" s="827">
        <v>0</v>
      </c>
      <c r="Z365" s="1249">
        <v>0</v>
      </c>
      <c r="AA365" s="826">
        <v>0</v>
      </c>
      <c r="AB365" s="827">
        <v>0</v>
      </c>
      <c r="AC365" s="1249">
        <v>0</v>
      </c>
      <c r="AD365" s="826">
        <v>0</v>
      </c>
      <c r="AE365" s="827">
        <v>0</v>
      </c>
      <c r="AF365" s="1249">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2">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2">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4"/>
      <c r="D370" s="1162"/>
      <c r="E370" s="1164">
        <v>0</v>
      </c>
      <c r="F370" s="1144"/>
      <c r="G370" s="1162"/>
      <c r="H370" s="1164">
        <v>0</v>
      </c>
      <c r="I370" s="1144"/>
      <c r="J370" s="1162"/>
      <c r="K370" s="1164">
        <v>0</v>
      </c>
      <c r="L370" s="1144"/>
      <c r="M370" s="1162"/>
      <c r="N370" s="1164">
        <v>0</v>
      </c>
      <c r="O370" s="1144"/>
      <c r="P370" s="1162"/>
      <c r="Q370" s="1164">
        <v>0</v>
      </c>
      <c r="R370" s="1144"/>
      <c r="S370" s="1162"/>
      <c r="T370" s="1164">
        <v>0</v>
      </c>
      <c r="U370" s="1144"/>
      <c r="V370" s="1162"/>
      <c r="W370" s="1164">
        <v>0</v>
      </c>
      <c r="X370" s="1144"/>
      <c r="Y370" s="1162"/>
      <c r="Z370" s="1164">
        <v>0</v>
      </c>
      <c r="AA370" s="1144"/>
      <c r="AB370" s="1162"/>
      <c r="AC370" s="1164">
        <v>0</v>
      </c>
      <c r="AD370" s="1144"/>
      <c r="AE370" s="1162"/>
      <c r="AF370" s="1164">
        <v>0</v>
      </c>
      <c r="AG370" s="1144"/>
      <c r="AH370" s="1162"/>
      <c r="AI370" s="1164">
        <v>0</v>
      </c>
      <c r="AJ370" s="1144"/>
      <c r="AK370" s="1162"/>
      <c r="AL370" s="1164">
        <v>0</v>
      </c>
      <c r="AM370" s="1144"/>
      <c r="AN370" s="1162"/>
      <c r="AO370" s="124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2"/>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2"/>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2"/>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2">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4"/>
      <c r="D376" s="1162"/>
      <c r="E376" s="1164">
        <v>0</v>
      </c>
      <c r="F376" s="1144"/>
      <c r="G376" s="1162"/>
      <c r="H376" s="1164">
        <v>0</v>
      </c>
      <c r="I376" s="1144"/>
      <c r="J376" s="1162"/>
      <c r="K376" s="1164">
        <v>0</v>
      </c>
      <c r="L376" s="1144"/>
      <c r="M376" s="1162"/>
      <c r="N376" s="1164">
        <v>0</v>
      </c>
      <c r="O376" s="1144"/>
      <c r="P376" s="1162"/>
      <c r="Q376" s="1164">
        <v>0</v>
      </c>
      <c r="R376" s="1144"/>
      <c r="S376" s="1162"/>
      <c r="T376" s="1164">
        <v>0</v>
      </c>
      <c r="U376" s="1144"/>
      <c r="V376" s="1162"/>
      <c r="W376" s="1164">
        <v>0</v>
      </c>
      <c r="X376" s="1144"/>
      <c r="Y376" s="1162"/>
      <c r="Z376" s="1164">
        <v>0</v>
      </c>
      <c r="AA376" s="1144"/>
      <c r="AB376" s="1162"/>
      <c r="AC376" s="1164">
        <v>0</v>
      </c>
      <c r="AD376" s="1144"/>
      <c r="AE376" s="1162"/>
      <c r="AF376" s="1164">
        <v>0</v>
      </c>
      <c r="AG376" s="1144"/>
      <c r="AH376" s="1162"/>
      <c r="AI376" s="1164">
        <v>0</v>
      </c>
      <c r="AJ376" s="1144"/>
      <c r="AK376" s="1162"/>
      <c r="AL376" s="1164">
        <v>0</v>
      </c>
      <c r="AM376" s="1144"/>
      <c r="AN376" s="1162"/>
      <c r="AO376" s="124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2">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7" t="s">
        <v>119</v>
      </c>
      <c r="D380" s="1158">
        <v>0</v>
      </c>
      <c r="E380" s="1159">
        <v>0</v>
      </c>
      <c r="F380" s="1157"/>
      <c r="G380" s="1158"/>
      <c r="H380" s="1159">
        <v>0</v>
      </c>
      <c r="I380" s="1157"/>
      <c r="J380" s="1158"/>
      <c r="K380" s="1159">
        <v>0</v>
      </c>
      <c r="L380" s="1157"/>
      <c r="M380" s="1158"/>
      <c r="N380" s="1159">
        <v>0</v>
      </c>
      <c r="O380" s="1157"/>
      <c r="P380" s="1158"/>
      <c r="Q380" s="1159">
        <v>0</v>
      </c>
      <c r="R380" s="1157"/>
      <c r="S380" s="1158"/>
      <c r="T380" s="1159">
        <v>0</v>
      </c>
      <c r="U380" s="1157"/>
      <c r="V380" s="1158"/>
      <c r="W380" s="1244">
        <v>0</v>
      </c>
      <c r="X380" s="1157"/>
      <c r="Y380" s="1158"/>
      <c r="Z380" s="1244">
        <v>0</v>
      </c>
      <c r="AA380" s="1157"/>
      <c r="AB380" s="1158"/>
      <c r="AC380" s="1244">
        <v>0</v>
      </c>
      <c r="AD380" s="1157"/>
      <c r="AE380" s="1158"/>
      <c r="AF380" s="1244">
        <v>0</v>
      </c>
      <c r="AG380" s="1157"/>
      <c r="AH380" s="1158"/>
      <c r="AI380" s="1159">
        <v>0</v>
      </c>
      <c r="AJ380" s="1157"/>
      <c r="AK380" s="1158"/>
      <c r="AL380" s="1159">
        <v>0</v>
      </c>
      <c r="AM380" s="1157"/>
      <c r="AN380" s="1158"/>
      <c r="AO380" s="115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2">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2">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3">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2">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2">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3">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2">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2">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2">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2">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2">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2">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2">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2"/>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7" t="s">
        <v>119</v>
      </c>
      <c r="D398" s="1158">
        <v>0</v>
      </c>
      <c r="E398" s="1159">
        <v>0</v>
      </c>
      <c r="F398" s="1157" t="s">
        <v>119</v>
      </c>
      <c r="G398" s="1158">
        <v>0</v>
      </c>
      <c r="H398" s="1159">
        <v>0</v>
      </c>
      <c r="I398" s="1157" t="s">
        <v>119</v>
      </c>
      <c r="J398" s="1158">
        <v>0</v>
      </c>
      <c r="K398" s="1159">
        <v>0</v>
      </c>
      <c r="L398" s="1157" t="s">
        <v>119</v>
      </c>
      <c r="M398" s="1158">
        <v>0</v>
      </c>
      <c r="N398" s="1159">
        <v>0</v>
      </c>
      <c r="O398" s="1157" t="s">
        <v>119</v>
      </c>
      <c r="P398" s="1158">
        <v>0</v>
      </c>
      <c r="Q398" s="1159">
        <v>0</v>
      </c>
      <c r="R398" s="1157" t="s">
        <v>119</v>
      </c>
      <c r="S398" s="1158">
        <v>0</v>
      </c>
      <c r="T398" s="1159">
        <v>0</v>
      </c>
      <c r="U398" s="1157" t="s">
        <v>119</v>
      </c>
      <c r="V398" s="1158">
        <v>0</v>
      </c>
      <c r="W398" s="1244">
        <v>0</v>
      </c>
      <c r="X398" s="1157" t="s">
        <v>119</v>
      </c>
      <c r="Y398" s="1158">
        <v>0</v>
      </c>
      <c r="Z398" s="1244">
        <v>0</v>
      </c>
      <c r="AA398" s="1157" t="s">
        <v>119</v>
      </c>
      <c r="AB398" s="1158">
        <v>0</v>
      </c>
      <c r="AC398" s="1244">
        <v>0</v>
      </c>
      <c r="AD398" s="1157" t="s">
        <v>119</v>
      </c>
      <c r="AE398" s="1158">
        <v>0</v>
      </c>
      <c r="AF398" s="1244">
        <v>0</v>
      </c>
      <c r="AG398" s="1157" t="s">
        <v>119</v>
      </c>
      <c r="AH398" s="1158">
        <v>0</v>
      </c>
      <c r="AI398" s="1159">
        <v>0</v>
      </c>
      <c r="AJ398" s="1157" t="s">
        <v>119</v>
      </c>
      <c r="AK398" s="1158">
        <v>0</v>
      </c>
      <c r="AL398" s="1159">
        <v>0</v>
      </c>
      <c r="AM398" s="1157" t="s">
        <v>119</v>
      </c>
      <c r="AN398" s="1158">
        <v>0</v>
      </c>
      <c r="AO398" s="115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7" t="s">
        <v>119</v>
      </c>
      <c r="D400" s="1158">
        <v>0</v>
      </c>
      <c r="E400" s="1159">
        <v>0</v>
      </c>
      <c r="F400" s="1157" t="s">
        <v>119</v>
      </c>
      <c r="G400" s="1158">
        <v>0</v>
      </c>
      <c r="H400" s="1159">
        <v>0</v>
      </c>
      <c r="I400" s="1157" t="s">
        <v>119</v>
      </c>
      <c r="J400" s="1158">
        <v>0</v>
      </c>
      <c r="K400" s="1159">
        <v>0</v>
      </c>
      <c r="L400" s="1157" t="s">
        <v>119</v>
      </c>
      <c r="M400" s="1158">
        <v>0</v>
      </c>
      <c r="N400" s="1159">
        <v>0</v>
      </c>
      <c r="O400" s="1157" t="s">
        <v>119</v>
      </c>
      <c r="P400" s="1158">
        <v>0</v>
      </c>
      <c r="Q400" s="1159">
        <v>0</v>
      </c>
      <c r="R400" s="1157" t="s">
        <v>119</v>
      </c>
      <c r="S400" s="1158">
        <v>0</v>
      </c>
      <c r="T400" s="1159">
        <v>0</v>
      </c>
      <c r="U400" s="1157" t="s">
        <v>119</v>
      </c>
      <c r="V400" s="1158">
        <v>0</v>
      </c>
      <c r="W400" s="1244">
        <v>0</v>
      </c>
      <c r="X400" s="1157" t="s">
        <v>119</v>
      </c>
      <c r="Y400" s="1158">
        <v>0</v>
      </c>
      <c r="Z400" s="1244">
        <v>0</v>
      </c>
      <c r="AA400" s="1157" t="s">
        <v>119</v>
      </c>
      <c r="AB400" s="1158">
        <v>0</v>
      </c>
      <c r="AC400" s="1244">
        <v>0</v>
      </c>
      <c r="AD400" s="1157" t="s">
        <v>119</v>
      </c>
      <c r="AE400" s="1158">
        <v>0</v>
      </c>
      <c r="AF400" s="1244">
        <v>0</v>
      </c>
      <c r="AG400" s="1157" t="s">
        <v>119</v>
      </c>
      <c r="AH400" s="1158">
        <v>0</v>
      </c>
      <c r="AI400" s="1159">
        <v>0</v>
      </c>
      <c r="AJ400" s="1157" t="s">
        <v>119</v>
      </c>
      <c r="AK400" s="1158">
        <v>0</v>
      </c>
      <c r="AL400" s="1159">
        <v>0</v>
      </c>
      <c r="AM400" s="1157" t="s">
        <v>119</v>
      </c>
      <c r="AN400" s="1158">
        <v>0</v>
      </c>
      <c r="AO400" s="115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6">
        <v>0</v>
      </c>
      <c r="X402" s="829"/>
      <c r="Y402" s="830"/>
      <c r="Z402" s="1266">
        <v>0</v>
      </c>
      <c r="AA402" s="829"/>
      <c r="AB402" s="830"/>
      <c r="AC402" s="1266">
        <v>0</v>
      </c>
      <c r="AD402" s="829"/>
      <c r="AE402" s="830"/>
      <c r="AF402" s="1266">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7">
        <v>647043.10999999952</v>
      </c>
      <c r="X410" s="841"/>
      <c r="Y410" s="842"/>
      <c r="Z410" s="1267">
        <v>777546.92999999947</v>
      </c>
      <c r="AA410" s="841"/>
      <c r="AB410" s="842"/>
      <c r="AC410" s="1267">
        <v>780636.27999999933</v>
      </c>
      <c r="AD410" s="841"/>
      <c r="AE410" s="842"/>
      <c r="AF410" s="1267">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7">
        <v>0.19241397726296988</v>
      </c>
      <c r="D422" s="1220">
        <v>1654.9073516544263</v>
      </c>
      <c r="E422" s="1219">
        <v>1600725.4300000002</v>
      </c>
      <c r="F422" s="1217"/>
      <c r="G422" s="1220"/>
      <c r="H422" s="1219">
        <v>149503.07999999999</v>
      </c>
      <c r="I422" s="1217"/>
      <c r="J422" s="1220"/>
      <c r="K422" s="1219">
        <v>67368.27</v>
      </c>
      <c r="L422" s="1217"/>
      <c r="M422" s="1220"/>
      <c r="N422" s="1219">
        <v>141916.95000000001</v>
      </c>
      <c r="O422" s="1217"/>
      <c r="P422" s="1220"/>
      <c r="Q422" s="1219">
        <v>124145.659999999</v>
      </c>
      <c r="R422" s="1217"/>
      <c r="S422" s="1220"/>
      <c r="T422" s="1219">
        <v>158733.60999999999</v>
      </c>
      <c r="U422" s="1217"/>
      <c r="V422" s="1220"/>
      <c r="W422" s="1268">
        <v>135251.97</v>
      </c>
      <c r="X422" s="1217"/>
      <c r="Y422" s="1220"/>
      <c r="Z422" s="1268">
        <v>163366.56</v>
      </c>
      <c r="AA422" s="1217"/>
      <c r="AB422" s="1220"/>
      <c r="AC422" s="1268">
        <v>127880.819999999</v>
      </c>
      <c r="AD422" s="1217"/>
      <c r="AE422" s="1220"/>
      <c r="AF422" s="1268">
        <v>139500.56</v>
      </c>
      <c r="AG422" s="1217"/>
      <c r="AH422" s="1220"/>
      <c r="AI422" s="1219">
        <v>143555.11999999901</v>
      </c>
      <c r="AJ422" s="1217"/>
      <c r="AK422" s="1220"/>
      <c r="AL422" s="1219">
        <v>143311.39000000001</v>
      </c>
      <c r="AM422" s="1217"/>
      <c r="AN422" s="1220"/>
      <c r="AO422" s="1219">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9">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70">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70">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7">
        <v>0.43044336690535884</v>
      </c>
      <c r="D436" s="1222"/>
      <c r="E436" s="1219">
        <v>3580933.4299999978</v>
      </c>
      <c r="F436" s="1217"/>
      <c r="G436" s="1222"/>
      <c r="H436" s="1219">
        <v>302609.61</v>
      </c>
      <c r="I436" s="1217"/>
      <c r="J436" s="1222"/>
      <c r="K436" s="1219">
        <v>267862.26</v>
      </c>
      <c r="L436" s="1217"/>
      <c r="M436" s="1222"/>
      <c r="N436" s="1219">
        <v>279171.52999999898</v>
      </c>
      <c r="O436" s="1217"/>
      <c r="P436" s="1222"/>
      <c r="Q436" s="1219">
        <v>312840.75</v>
      </c>
      <c r="R436" s="1217"/>
      <c r="S436" s="1222"/>
      <c r="T436" s="1219">
        <v>343419.359999999</v>
      </c>
      <c r="U436" s="1217"/>
      <c r="V436" s="1222"/>
      <c r="W436" s="1268">
        <v>280276.03999999998</v>
      </c>
      <c r="X436" s="1217"/>
      <c r="Y436" s="1222"/>
      <c r="Z436" s="1268">
        <v>280364.39999999898</v>
      </c>
      <c r="AA436" s="1217"/>
      <c r="AB436" s="1222"/>
      <c r="AC436" s="1268">
        <v>297973.28999999998</v>
      </c>
      <c r="AD436" s="1217"/>
      <c r="AE436" s="1222"/>
      <c r="AF436" s="1268">
        <v>266811.82</v>
      </c>
      <c r="AG436" s="1217"/>
      <c r="AH436" s="1222"/>
      <c r="AI436" s="1219">
        <v>350069.54</v>
      </c>
      <c r="AJ436" s="1217"/>
      <c r="AK436" s="1222"/>
      <c r="AL436" s="1219">
        <v>325979.96000000002</v>
      </c>
      <c r="AM436" s="1217"/>
      <c r="AN436" s="1222"/>
      <c r="AO436" s="1219">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3"/>
      <c r="D437" s="1224"/>
      <c r="E437" s="1225">
        <v>208959.93</v>
      </c>
      <c r="F437" s="1223"/>
      <c r="G437" s="1224"/>
      <c r="H437" s="1225">
        <v>22331.040000000001</v>
      </c>
      <c r="I437" s="1223"/>
      <c r="J437" s="1224"/>
      <c r="K437" s="1225">
        <v>13701.99</v>
      </c>
      <c r="L437" s="1223"/>
      <c r="M437" s="1224"/>
      <c r="N437" s="1225">
        <v>19234.12</v>
      </c>
      <c r="O437" s="1223"/>
      <c r="P437" s="1224"/>
      <c r="Q437" s="1225">
        <v>33630.42</v>
      </c>
      <c r="R437" s="1223"/>
      <c r="S437" s="1224"/>
      <c r="T437" s="1225">
        <v>22624.880000000001</v>
      </c>
      <c r="U437" s="1223"/>
      <c r="V437" s="1224"/>
      <c r="W437" s="1225">
        <v>12184.25</v>
      </c>
      <c r="X437" s="1223"/>
      <c r="Y437" s="1224"/>
      <c r="Z437" s="1225">
        <v>14038.38</v>
      </c>
      <c r="AA437" s="1223"/>
      <c r="AB437" s="1224"/>
      <c r="AC437" s="1225">
        <v>16818.759999999998</v>
      </c>
      <c r="AD437" s="1223"/>
      <c r="AE437" s="1224"/>
      <c r="AF437" s="1225">
        <v>8161.31</v>
      </c>
      <c r="AG437" s="1223"/>
      <c r="AH437" s="1224"/>
      <c r="AI437" s="1225">
        <v>14192.39</v>
      </c>
      <c r="AJ437" s="1223"/>
      <c r="AK437" s="1224"/>
      <c r="AL437" s="1225">
        <v>23762.89</v>
      </c>
      <c r="AM437" s="1223"/>
      <c r="AN437" s="1224"/>
      <c r="AO437" s="1225">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7">
        <v>0.19935005617708909</v>
      </c>
      <c r="D455" s="1220"/>
      <c r="E455" s="1219">
        <v>1658427.8799999987</v>
      </c>
      <c r="F455" s="1217"/>
      <c r="G455" s="1220"/>
      <c r="H455" s="1219">
        <v>138788.31</v>
      </c>
      <c r="I455" s="1217"/>
      <c r="J455" s="1220"/>
      <c r="K455" s="1219">
        <v>135647.15</v>
      </c>
      <c r="L455" s="1217"/>
      <c r="M455" s="1220"/>
      <c r="N455" s="1219">
        <v>147563.04999999999</v>
      </c>
      <c r="O455" s="1217"/>
      <c r="P455" s="1220"/>
      <c r="Q455" s="1219">
        <v>158188.99</v>
      </c>
      <c r="R455" s="1217"/>
      <c r="S455" s="1220"/>
      <c r="T455" s="1219">
        <v>156860.41</v>
      </c>
      <c r="U455" s="1217"/>
      <c r="V455" s="1220"/>
      <c r="W455" s="1268">
        <v>122339.82</v>
      </c>
      <c r="X455" s="1217"/>
      <c r="Y455" s="1220"/>
      <c r="Z455" s="1268">
        <v>134049.59</v>
      </c>
      <c r="AA455" s="1217"/>
      <c r="AB455" s="1220"/>
      <c r="AC455" s="1268">
        <v>130324.28</v>
      </c>
      <c r="AD455" s="1217"/>
      <c r="AE455" s="1220"/>
      <c r="AF455" s="1268">
        <v>128546.16</v>
      </c>
      <c r="AG455" s="1217"/>
      <c r="AH455" s="1220"/>
      <c r="AI455" s="1219">
        <v>138429.22999999899</v>
      </c>
      <c r="AJ455" s="1217"/>
      <c r="AK455" s="1220"/>
      <c r="AL455" s="1219">
        <v>158704.56</v>
      </c>
      <c r="AM455" s="1217"/>
      <c r="AN455" s="1220"/>
      <c r="AO455" s="1219">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71">
        <v>36000</v>
      </c>
      <c r="AJ456" s="849"/>
      <c r="AK456" s="848"/>
      <c r="AL456" s="1271">
        <v>36000</v>
      </c>
      <c r="AM456" s="849"/>
      <c r="AN456" s="848"/>
      <c r="AO456" s="1271">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71">
        <v>5423</v>
      </c>
      <c r="AJ457" s="849"/>
      <c r="AK457" s="848"/>
      <c r="AL457" s="1271">
        <v>5423</v>
      </c>
      <c r="AM457" s="849"/>
      <c r="AN457" s="848"/>
      <c r="AO457" s="1271">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2">
        <v>3609</v>
      </c>
      <c r="AJ458" s="852"/>
      <c r="AK458" s="851"/>
      <c r="AL458" s="1272">
        <v>3609</v>
      </c>
      <c r="AM458" s="852"/>
      <c r="AN458" s="851"/>
      <c r="AO458" s="1272">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71">
        <v>0</v>
      </c>
      <c r="AJ459" s="849"/>
      <c r="AK459" s="848"/>
      <c r="AL459" s="1271">
        <v>0</v>
      </c>
      <c r="AM459" s="849"/>
      <c r="AN459" s="848"/>
      <c r="AO459" s="1271">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2">
        <v>4344.25</v>
      </c>
      <c r="AJ460" s="852"/>
      <c r="AK460" s="851"/>
      <c r="AL460" s="1272">
        <v>4344.25</v>
      </c>
      <c r="AM460" s="852"/>
      <c r="AN460" s="851"/>
      <c r="AO460" s="1272">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71">
        <v>9576.2099999999991</v>
      </c>
      <c r="AJ461" s="849"/>
      <c r="AK461" s="848"/>
      <c r="AL461" s="1271">
        <v>6260.74</v>
      </c>
      <c r="AM461" s="849"/>
      <c r="AN461" s="848"/>
      <c r="AO461" s="1271">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71">
        <v>6423.3299999999899</v>
      </c>
      <c r="AJ462" s="849"/>
      <c r="AK462" s="848"/>
      <c r="AL462" s="1271">
        <v>9236.31</v>
      </c>
      <c r="AM462" s="849"/>
      <c r="AN462" s="848"/>
      <c r="AO462" s="1271">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2">
        <v>265</v>
      </c>
      <c r="AJ463" s="852"/>
      <c r="AK463" s="851"/>
      <c r="AL463" s="1272">
        <v>502.05</v>
      </c>
      <c r="AM463" s="852"/>
      <c r="AN463" s="851"/>
      <c r="AO463" s="1272">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71">
        <v>1242.0999999999999</v>
      </c>
      <c r="AJ464" s="849"/>
      <c r="AK464" s="848"/>
      <c r="AL464" s="1271">
        <v>977.96</v>
      </c>
      <c r="AM464" s="849"/>
      <c r="AN464" s="848"/>
      <c r="AO464" s="1271">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71">
        <v>0</v>
      </c>
      <c r="AJ465" s="849"/>
      <c r="AK465" s="848"/>
      <c r="AL465" s="1271">
        <v>0</v>
      </c>
      <c r="AM465" s="849"/>
      <c r="AN465" s="848"/>
      <c r="AO465" s="1271">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7">
        <v>0.10598641039665294</v>
      </c>
      <c r="D469" s="1220"/>
      <c r="E469" s="1219">
        <v>881719.42999999993</v>
      </c>
      <c r="F469" s="1217"/>
      <c r="G469" s="1220"/>
      <c r="H469" s="1219">
        <v>68541.25</v>
      </c>
      <c r="I469" s="1217"/>
      <c r="J469" s="1220"/>
      <c r="K469" s="1219">
        <v>67547.98000000001</v>
      </c>
      <c r="L469" s="1217"/>
      <c r="M469" s="1220"/>
      <c r="N469" s="1219">
        <v>67386.28</v>
      </c>
      <c r="O469" s="1217"/>
      <c r="P469" s="1220"/>
      <c r="Q469" s="1219">
        <v>62456.38999999997</v>
      </c>
      <c r="R469" s="1217"/>
      <c r="S469" s="1220"/>
      <c r="T469" s="1219">
        <v>64762.869999999995</v>
      </c>
      <c r="U469" s="1217"/>
      <c r="V469" s="1220"/>
      <c r="W469" s="1268">
        <v>62889.48</v>
      </c>
      <c r="X469" s="1217"/>
      <c r="Y469" s="1220"/>
      <c r="Z469" s="1268">
        <v>67590.47</v>
      </c>
      <c r="AA469" s="1217"/>
      <c r="AB469" s="1220"/>
      <c r="AC469" s="1268">
        <v>171894.94999999998</v>
      </c>
      <c r="AD469" s="1217"/>
      <c r="AE469" s="1220"/>
      <c r="AF469" s="1268">
        <v>62175.729999999989</v>
      </c>
      <c r="AG469" s="1217"/>
      <c r="AH469" s="1220"/>
      <c r="AI469" s="1219">
        <v>66882.889999999985</v>
      </c>
      <c r="AJ469" s="1217"/>
      <c r="AK469" s="1220"/>
      <c r="AL469" s="1219">
        <v>66353.31</v>
      </c>
      <c r="AM469" s="1217"/>
      <c r="AN469" s="1220"/>
      <c r="AO469" s="1219">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7">
        <v>0.92819381074207064</v>
      </c>
      <c r="D471" s="1220"/>
      <c r="E471" s="1219">
        <v>7721806.1699999962</v>
      </c>
      <c r="F471" s="1217"/>
      <c r="G471" s="1220"/>
      <c r="H471" s="1219">
        <v>659442.25</v>
      </c>
      <c r="I471" s="1217"/>
      <c r="J471" s="1220"/>
      <c r="K471" s="1219">
        <v>538425.66</v>
      </c>
      <c r="L471" s="1217"/>
      <c r="M471" s="1220"/>
      <c r="N471" s="1219">
        <v>636037.81000000006</v>
      </c>
      <c r="O471" s="1217"/>
      <c r="P471" s="1220"/>
      <c r="Q471" s="1219">
        <v>657631.79</v>
      </c>
      <c r="R471" s="1217"/>
      <c r="S471" s="1220"/>
      <c r="T471" s="1219">
        <v>723776.25</v>
      </c>
      <c r="U471" s="1217"/>
      <c r="V471" s="1220"/>
      <c r="W471" s="1268">
        <v>600757.31000000006</v>
      </c>
      <c r="X471" s="1217"/>
      <c r="Y471" s="1220"/>
      <c r="Z471" s="1268">
        <v>645371.01999999897</v>
      </c>
      <c r="AA471" s="1217"/>
      <c r="AB471" s="1220"/>
      <c r="AC471" s="1268">
        <v>728073.34</v>
      </c>
      <c r="AD471" s="1217"/>
      <c r="AE471" s="1220"/>
      <c r="AF471" s="1268">
        <v>597034.27</v>
      </c>
      <c r="AG471" s="1217"/>
      <c r="AH471" s="1220"/>
      <c r="AI471" s="1219">
        <v>698936.78</v>
      </c>
      <c r="AJ471" s="1217"/>
      <c r="AK471" s="1220"/>
      <c r="AL471" s="1219">
        <v>694349.22</v>
      </c>
      <c r="AM471" s="1217"/>
      <c r="AN471" s="1220"/>
      <c r="AO471" s="1219">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7"/>
      <c r="D472" s="1228"/>
      <c r="E472" s="1229">
        <v>173303.31</v>
      </c>
      <c r="F472" s="1227"/>
      <c r="G472" s="1228"/>
      <c r="H472" s="1229">
        <v>1410.6</v>
      </c>
      <c r="I472" s="1227"/>
      <c r="J472" s="1228"/>
      <c r="K472" s="1229">
        <v>26653.53</v>
      </c>
      <c r="L472" s="1227"/>
      <c r="M472" s="1228"/>
      <c r="N472" s="1229">
        <v>42727.95</v>
      </c>
      <c r="O472" s="1227"/>
      <c r="P472" s="1228"/>
      <c r="Q472" s="1229">
        <v>1302.69</v>
      </c>
      <c r="R472" s="1227"/>
      <c r="S472" s="1228"/>
      <c r="T472" s="1229">
        <v>7299.74</v>
      </c>
      <c r="U472" s="1227"/>
      <c r="V472" s="1228"/>
      <c r="W472" s="1225">
        <v>22949.040000000001</v>
      </c>
      <c r="X472" s="1227"/>
      <c r="Y472" s="1228"/>
      <c r="Z472" s="1225">
        <v>67.010000000000005</v>
      </c>
      <c r="AA472" s="1227"/>
      <c r="AB472" s="1228"/>
      <c r="AC472" s="1225">
        <v>16998.62</v>
      </c>
      <c r="AD472" s="1227"/>
      <c r="AE472" s="1228"/>
      <c r="AF472" s="1225">
        <v>1981.43</v>
      </c>
      <c r="AG472" s="1227"/>
      <c r="AH472" s="1228"/>
      <c r="AI472" s="1273">
        <v>24843.37</v>
      </c>
      <c r="AJ472" s="1227"/>
      <c r="AK472" s="1228"/>
      <c r="AL472" s="1273">
        <v>10017.57</v>
      </c>
      <c r="AM472" s="1227"/>
      <c r="AN472" s="1228"/>
      <c r="AO472" s="1273">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70">
        <v>76838</v>
      </c>
      <c r="AJ473" s="863"/>
      <c r="AK473" s="864"/>
      <c r="AL473" s="1270">
        <v>95331</v>
      </c>
      <c r="AM473" s="863"/>
      <c r="AN473" s="864"/>
      <c r="AO473" s="1270">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70">
        <v>45250</v>
      </c>
      <c r="AJ474" s="863"/>
      <c r="AK474" s="864"/>
      <c r="AL474" s="1270">
        <v>0</v>
      </c>
      <c r="AM474" s="863"/>
      <c r="AN474" s="864"/>
      <c r="AO474" s="1270">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70">
        <v>0</v>
      </c>
      <c r="AJ475" s="863"/>
      <c r="AK475" s="864"/>
      <c r="AL475" s="1270">
        <v>0</v>
      </c>
      <c r="AM475" s="863"/>
      <c r="AN475" s="864"/>
      <c r="AO475" s="1270">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70">
        <v>0</v>
      </c>
      <c r="AJ476" s="863"/>
      <c r="AK476" s="864"/>
      <c r="AL476" s="1270">
        <v>0</v>
      </c>
      <c r="AM476" s="863"/>
      <c r="AN476" s="864"/>
      <c r="AO476" s="1270">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70">
        <v>0</v>
      </c>
      <c r="AJ477" s="863"/>
      <c r="AK477" s="864"/>
      <c r="AL477" s="1270">
        <v>0</v>
      </c>
      <c r="AM477" s="863"/>
      <c r="AN477" s="864"/>
      <c r="AO477" s="1270">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70">
        <v>0</v>
      </c>
      <c r="AJ478" s="863"/>
      <c r="AK478" s="864"/>
      <c r="AL478" s="1270">
        <v>0</v>
      </c>
      <c r="AM478" s="863"/>
      <c r="AN478" s="864"/>
      <c r="AO478" s="1270">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70">
        <v>0</v>
      </c>
      <c r="AJ479" s="863"/>
      <c r="AK479" s="864"/>
      <c r="AL479" s="1270">
        <v>0</v>
      </c>
      <c r="AM479" s="863"/>
      <c r="AN479" s="864"/>
      <c r="AO479" s="1270">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70">
        <v>0</v>
      </c>
      <c r="AJ480" s="863"/>
      <c r="AK480" s="864"/>
      <c r="AL480" s="1270">
        <v>0</v>
      </c>
      <c r="AM480" s="863"/>
      <c r="AN480" s="864"/>
      <c r="AO480" s="1270">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70"/>
      <c r="AJ481" s="863"/>
      <c r="AK481" s="864"/>
      <c r="AL481" s="1270"/>
      <c r="AM481" s="863"/>
      <c r="AN481" s="864"/>
      <c r="AO481" s="127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70"/>
      <c r="AJ482" s="863"/>
      <c r="AK482" s="864"/>
      <c r="AL482" s="1270"/>
      <c r="AM482" s="863"/>
      <c r="AN482" s="864"/>
      <c r="AO482" s="127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70">
        <v>30198</v>
      </c>
      <c r="AJ483" s="865"/>
      <c r="AK483" s="864"/>
      <c r="AL483" s="1270">
        <v>44739</v>
      </c>
      <c r="AM483" s="865"/>
      <c r="AN483" s="864"/>
      <c r="AO483" s="1270">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7">
        <v>0.19396935756983152</v>
      </c>
      <c r="D484" s="1230"/>
      <c r="E484" s="1219">
        <v>1613664.91</v>
      </c>
      <c r="F484" s="1217"/>
      <c r="G484" s="1230"/>
      <c r="H484" s="1219">
        <v>119708.6</v>
      </c>
      <c r="I484" s="1217"/>
      <c r="J484" s="1230"/>
      <c r="K484" s="1219">
        <v>98432.53</v>
      </c>
      <c r="L484" s="1217"/>
      <c r="M484" s="1230"/>
      <c r="N484" s="1219">
        <v>150249.95000000001</v>
      </c>
      <c r="O484" s="1217"/>
      <c r="P484" s="1230"/>
      <c r="Q484" s="1219">
        <v>117803.69</v>
      </c>
      <c r="R484" s="1217"/>
      <c r="S484" s="1230"/>
      <c r="T484" s="1219">
        <v>117385.74</v>
      </c>
      <c r="U484" s="1217"/>
      <c r="V484" s="1230"/>
      <c r="W484" s="1268">
        <v>133496.59</v>
      </c>
      <c r="X484" s="1217"/>
      <c r="Y484" s="1230"/>
      <c r="Z484" s="1268">
        <v>147045.85999999999</v>
      </c>
      <c r="AA484" s="1217"/>
      <c r="AB484" s="1230"/>
      <c r="AC484" s="1268">
        <v>163129.82</v>
      </c>
      <c r="AD484" s="1217"/>
      <c r="AE484" s="1230"/>
      <c r="AF484" s="1268">
        <v>122188.43</v>
      </c>
      <c r="AG484" s="1217"/>
      <c r="AH484" s="1230"/>
      <c r="AI484" s="1219">
        <v>177129.37</v>
      </c>
      <c r="AJ484" s="1217"/>
      <c r="AK484" s="1230"/>
      <c r="AL484" s="1219">
        <v>150087.57</v>
      </c>
      <c r="AM484" s="1217"/>
      <c r="AN484" s="1230"/>
      <c r="AO484" s="1219">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4"/>
      <c r="D485" s="1275"/>
      <c r="E485" s="1276">
        <v>372401.45999999996</v>
      </c>
      <c r="F485" s="1274"/>
      <c r="G485" s="1275"/>
      <c r="H485" s="1276"/>
      <c r="I485" s="1274"/>
      <c r="J485" s="1275"/>
      <c r="K485" s="1276"/>
      <c r="L485" s="1274"/>
      <c r="M485" s="1275"/>
      <c r="N485" s="1276"/>
      <c r="O485" s="1274"/>
      <c r="P485" s="1275"/>
      <c r="Q485" s="1276"/>
      <c r="R485" s="1274"/>
      <c r="S485" s="1275"/>
      <c r="T485" s="1276"/>
      <c r="U485" s="1274"/>
      <c r="V485" s="1275"/>
      <c r="W485" s="1277"/>
      <c r="X485" s="1274"/>
      <c r="Y485" s="1275"/>
      <c r="Z485" s="1277"/>
      <c r="AA485" s="1274"/>
      <c r="AB485" s="1275"/>
      <c r="AC485" s="1277"/>
      <c r="AD485" s="1274"/>
      <c r="AE485" s="1275"/>
      <c r="AF485" s="1277"/>
      <c r="AG485" s="1274"/>
      <c r="AH485" s="1275"/>
      <c r="AI485" s="1276"/>
      <c r="AJ485" s="1274"/>
      <c r="AK485" s="1275"/>
      <c r="AL485" s="1276"/>
      <c r="AM485" s="1274"/>
      <c r="AN485" s="1275"/>
      <c r="AO485" s="1276"/>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8">
        <v>179782.38999999946</v>
      </c>
      <c r="X486" s="869" t="s">
        <v>219</v>
      </c>
      <c r="Y486" s="870">
        <v>4.1371218581874307E-2</v>
      </c>
      <c r="Z486" s="1278">
        <v>279221.77000000048</v>
      </c>
      <c r="AA486" s="869" t="s">
        <v>219</v>
      </c>
      <c r="AB486" s="870">
        <v>3.507544936874632E-2</v>
      </c>
      <c r="AC486" s="1278">
        <v>215692.75999999937</v>
      </c>
      <c r="AD486" s="869" t="s">
        <v>219</v>
      </c>
      <c r="AE486" s="870">
        <v>5.147450496360996E-2</v>
      </c>
      <c r="AF486" s="1278">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9">
        <v>197966.14999999947</v>
      </c>
      <c r="X491" s="876" t="s">
        <v>219</v>
      </c>
      <c r="Y491" s="874">
        <v>4.5254527800547083E-2</v>
      </c>
      <c r="Z491" s="1279">
        <v>305430.92000000051</v>
      </c>
      <c r="AA491" s="876" t="s">
        <v>219</v>
      </c>
      <c r="AB491" s="874">
        <v>3.5665166008242336E-2</v>
      </c>
      <c r="AC491" s="1279">
        <v>219319.15999999936</v>
      </c>
      <c r="AD491" s="876" t="s">
        <v>219</v>
      </c>
      <c r="AE491" s="874">
        <v>5.2139211673270361E-2</v>
      </c>
      <c r="AF491" s="1279">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9">
        <v>179782.38999999946</v>
      </c>
      <c r="X492" s="876" t="s">
        <v>219</v>
      </c>
      <c r="Y492" s="874">
        <v>4.1371218581874307E-2</v>
      </c>
      <c r="Z492" s="1279">
        <v>279221.77000000048</v>
      </c>
      <c r="AA492" s="876" t="s">
        <v>219</v>
      </c>
      <c r="AB492" s="874">
        <v>3.507544936874632E-2</v>
      </c>
      <c r="AC492" s="1279">
        <v>215692.75999999937</v>
      </c>
      <c r="AD492" s="876" t="s">
        <v>219</v>
      </c>
      <c r="AE492" s="874">
        <v>5.147450496360996E-2</v>
      </c>
      <c r="AF492" s="1279">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9">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80">
        <v>138213.38999999946</v>
      </c>
      <c r="X501" s="888" t="s">
        <v>219</v>
      </c>
      <c r="Y501" s="886">
        <v>3.0090147187851302</v>
      </c>
      <c r="Z501" s="1280">
        <v>237652.77000000048</v>
      </c>
      <c r="AA501" s="888" t="s">
        <v>219</v>
      </c>
      <c r="AB501" s="886">
        <v>3.0090147187851302</v>
      </c>
      <c r="AC501" s="1280">
        <v>174123.75999999937</v>
      </c>
      <c r="AD501" s="888" t="s">
        <v>219</v>
      </c>
      <c r="AE501" s="886">
        <v>3.0090147187851302</v>
      </c>
      <c r="AF501" s="1280">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88" t="s">
        <v>228</v>
      </c>
      <c r="B4" s="128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89"/>
      <c r="B5" s="1289"/>
      <c r="C5" s="1290" t="s">
        <v>248</v>
      </c>
      <c r="D5" s="1291"/>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09" t="s">
        <v>252</v>
      </c>
      <c r="B1" s="1015" t="s">
        <v>9</v>
      </c>
      <c r="C1" s="1015" t="s">
        <v>253</v>
      </c>
      <c r="D1" s="1015" t="s">
        <v>254</v>
      </c>
      <c r="E1" s="1011" t="s">
        <v>848</v>
      </c>
      <c r="F1" s="1011" t="s">
        <v>905</v>
      </c>
      <c r="G1" s="1009" t="s">
        <v>257</v>
      </c>
      <c r="H1" s="1013"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10" t="s">
        <v>281</v>
      </c>
      <c r="B2" s="1010" t="s">
        <v>278</v>
      </c>
      <c r="C2" s="1010" t="s">
        <v>267</v>
      </c>
      <c r="D2" s="1010" t="s">
        <v>282</v>
      </c>
      <c r="E2" s="1012">
        <v>32007.51</v>
      </c>
      <c r="F2" s="1012">
        <v>-22494.36</v>
      </c>
      <c r="G2" s="1010" t="s">
        <v>283</v>
      </c>
      <c r="H2" s="1007">
        <v>423</v>
      </c>
      <c r="I2" s="969"/>
      <c r="J2" s="968"/>
      <c r="K2" s="96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10" t="s">
        <v>3340</v>
      </c>
      <c r="B3" s="1010" t="s">
        <v>278</v>
      </c>
      <c r="C3" s="1010" t="s">
        <v>267</v>
      </c>
      <c r="D3" s="1010" t="s">
        <v>282</v>
      </c>
      <c r="E3" s="1012">
        <v>24454.46</v>
      </c>
      <c r="F3" s="1008"/>
      <c r="G3" s="1010" t="s">
        <v>3341</v>
      </c>
      <c r="H3" s="1007">
        <v>306</v>
      </c>
      <c r="I3" s="968"/>
      <c r="J3" s="968"/>
      <c r="K3" s="96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10" t="s">
        <v>3418</v>
      </c>
      <c r="B4" s="1010" t="s">
        <v>268</v>
      </c>
      <c r="C4" s="1010" t="s">
        <v>267</v>
      </c>
      <c r="D4" s="1010" t="s">
        <v>269</v>
      </c>
      <c r="E4" s="1012">
        <v>37735.15</v>
      </c>
      <c r="F4" s="1008"/>
      <c r="G4" s="1010" t="s">
        <v>3419</v>
      </c>
      <c r="H4" s="1007">
        <v>188</v>
      </c>
      <c r="I4" s="968"/>
      <c r="J4" s="968"/>
      <c r="K4" s="968"/>
      <c r="L4" s="138"/>
      <c r="M4" s="138"/>
      <c r="N4" s="138"/>
      <c r="O4" s="138"/>
      <c r="P4" s="138"/>
      <c r="Q4" s="138"/>
      <c r="R4" s="138"/>
      <c r="S4" s="138"/>
      <c r="T4" s="138"/>
      <c r="U4" s="138"/>
      <c r="V4" s="138"/>
      <c r="W4" s="138"/>
      <c r="X4" s="138"/>
      <c r="Y4" s="138"/>
      <c r="Z4" s="138"/>
      <c r="AA4" s="138"/>
      <c r="AB4" s="138"/>
    </row>
    <row r="5" spans="1:28" ht="14.25" customHeight="1">
      <c r="A5" s="1010" t="s">
        <v>3420</v>
      </c>
      <c r="B5" s="1010" t="s">
        <v>266</v>
      </c>
      <c r="C5" s="1010" t="s">
        <v>267</v>
      </c>
      <c r="D5" s="1010" t="s">
        <v>3407</v>
      </c>
      <c r="E5" s="1012">
        <v>29929.55</v>
      </c>
      <c r="F5" s="1008"/>
      <c r="G5" s="1010" t="s">
        <v>3421</v>
      </c>
      <c r="H5" s="1007">
        <v>187</v>
      </c>
      <c r="I5" s="968"/>
      <c r="J5" s="968"/>
      <c r="K5" s="96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10" t="s">
        <v>3440</v>
      </c>
      <c r="B6" s="1010" t="s">
        <v>266</v>
      </c>
      <c r="C6" s="1010" t="s">
        <v>267</v>
      </c>
      <c r="D6" s="1010" t="s">
        <v>262</v>
      </c>
      <c r="E6" s="1012">
        <v>31306.12</v>
      </c>
      <c r="F6" s="1008"/>
      <c r="G6" s="1010" t="s">
        <v>3441</v>
      </c>
      <c r="H6" s="1007">
        <v>131</v>
      </c>
      <c r="I6" s="968"/>
      <c r="J6" s="968"/>
      <c r="K6" s="968"/>
      <c r="L6" s="138"/>
      <c r="M6" s="138"/>
      <c r="N6" s="138"/>
      <c r="O6" s="138"/>
      <c r="P6" s="138"/>
      <c r="Q6" s="138"/>
      <c r="R6" s="138"/>
      <c r="S6" s="138"/>
      <c r="T6" s="138"/>
      <c r="U6" s="138"/>
      <c r="V6" s="138"/>
      <c r="W6" s="138"/>
      <c r="X6" s="138"/>
      <c r="Y6" s="138"/>
      <c r="Z6" s="138"/>
      <c r="AA6" s="138"/>
      <c r="AB6" s="138"/>
    </row>
    <row r="7" spans="1:28" ht="14.25" customHeight="1">
      <c r="A7" s="1010" t="s">
        <v>3547</v>
      </c>
      <c r="B7" s="1010" t="s">
        <v>3548</v>
      </c>
      <c r="C7" s="1010" t="s">
        <v>3542</v>
      </c>
      <c r="D7" s="1010" t="s">
        <v>3543</v>
      </c>
      <c r="E7" s="1012">
        <v>17680.419999999998</v>
      </c>
      <c r="F7" s="1008"/>
      <c r="G7" s="1010" t="s">
        <v>3549</v>
      </c>
      <c r="H7" s="1007">
        <v>121</v>
      </c>
      <c r="I7" s="968"/>
      <c r="J7" s="968"/>
      <c r="K7" s="96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10" t="s">
        <v>3462</v>
      </c>
      <c r="B8" s="1010" t="s">
        <v>268</v>
      </c>
      <c r="C8" s="1010" t="s">
        <v>267</v>
      </c>
      <c r="D8" s="1010" t="s">
        <v>260</v>
      </c>
      <c r="E8" s="1012">
        <v>28635.15</v>
      </c>
      <c r="F8" s="1012">
        <v>-31332.799999999999</v>
      </c>
      <c r="G8" s="1010" t="s">
        <v>3463</v>
      </c>
      <c r="H8" s="1007">
        <v>104</v>
      </c>
      <c r="I8" s="968"/>
      <c r="J8" s="968"/>
      <c r="K8" s="96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10" t="s">
        <v>3458</v>
      </c>
      <c r="B9" s="1010" t="s">
        <v>259</v>
      </c>
      <c r="C9" s="1010" t="s">
        <v>267</v>
      </c>
      <c r="D9" s="1010" t="s">
        <v>260</v>
      </c>
      <c r="E9" s="1012">
        <v>38815.25</v>
      </c>
      <c r="F9" s="1008"/>
      <c r="G9" s="1010" t="s">
        <v>3459</v>
      </c>
      <c r="H9" s="1007">
        <v>94</v>
      </c>
      <c r="I9" s="968"/>
      <c r="J9" s="968"/>
      <c r="K9" s="968"/>
      <c r="L9" s="138"/>
      <c r="M9" s="138"/>
      <c r="N9" s="138"/>
      <c r="O9" s="138"/>
      <c r="P9" s="138"/>
      <c r="Q9" s="138"/>
      <c r="R9" s="138"/>
      <c r="S9" s="138"/>
      <c r="T9" s="138"/>
      <c r="U9" s="138"/>
      <c r="V9" s="138"/>
      <c r="W9" s="138"/>
      <c r="X9" s="138"/>
      <c r="Y9" s="138"/>
      <c r="Z9" s="138"/>
      <c r="AA9" s="138"/>
      <c r="AB9" s="138"/>
    </row>
    <row r="10" spans="1:28" ht="14.25" customHeight="1">
      <c r="A10" s="1010" t="s">
        <v>3460</v>
      </c>
      <c r="B10" s="1010" t="s">
        <v>278</v>
      </c>
      <c r="C10" s="1010" t="s">
        <v>267</v>
      </c>
      <c r="D10" s="1010" t="s">
        <v>260</v>
      </c>
      <c r="E10" s="1012">
        <v>31315.25</v>
      </c>
      <c r="F10" s="1012">
        <v>-24944.54</v>
      </c>
      <c r="G10" s="1010" t="s">
        <v>3461</v>
      </c>
      <c r="H10" s="1007">
        <v>94</v>
      </c>
      <c r="I10" s="968"/>
      <c r="J10" s="968"/>
      <c r="K10" s="968"/>
      <c r="L10" s="138"/>
      <c r="M10" s="138"/>
      <c r="N10" s="138"/>
      <c r="O10" s="138"/>
      <c r="P10" s="138"/>
      <c r="Q10" s="138"/>
      <c r="R10" s="138"/>
      <c r="S10" s="138"/>
      <c r="T10" s="138"/>
      <c r="U10" s="138"/>
      <c r="V10" s="138"/>
      <c r="W10" s="138"/>
      <c r="X10" s="138"/>
      <c r="Y10" s="138"/>
      <c r="Z10" s="138"/>
      <c r="AA10" s="138"/>
      <c r="AB10" s="138"/>
    </row>
    <row r="11" spans="1:28" ht="14.25" customHeight="1">
      <c r="A11" s="1010" t="s">
        <v>3465</v>
      </c>
      <c r="B11" s="1010" t="s">
        <v>275</v>
      </c>
      <c r="C11" s="1010" t="s">
        <v>267</v>
      </c>
      <c r="D11" s="1010" t="s">
        <v>277</v>
      </c>
      <c r="E11" s="1012">
        <v>21280.25</v>
      </c>
      <c r="F11" s="1012">
        <v>-10962</v>
      </c>
      <c r="G11" s="1010" t="s">
        <v>3466</v>
      </c>
      <c r="H11" s="1007">
        <v>94</v>
      </c>
      <c r="I11" s="968"/>
      <c r="J11" s="968"/>
      <c r="K11" s="968"/>
      <c r="L11" s="138"/>
      <c r="M11" s="138"/>
      <c r="N11" s="138"/>
      <c r="O11" s="138"/>
      <c r="P11" s="138"/>
      <c r="Q11" s="138"/>
      <c r="R11" s="138"/>
      <c r="S11" s="138"/>
      <c r="T11" s="138"/>
      <c r="U11" s="138"/>
      <c r="V11" s="138"/>
      <c r="W11" s="138"/>
      <c r="X11" s="138"/>
      <c r="Y11" s="138"/>
      <c r="Z11" s="138"/>
      <c r="AA11" s="138"/>
      <c r="AB11" s="138"/>
    </row>
    <row r="12" spans="1:28" ht="14.25" customHeight="1">
      <c r="A12" s="1010" t="s">
        <v>3467</v>
      </c>
      <c r="B12" s="1010" t="s">
        <v>266</v>
      </c>
      <c r="C12" s="1010" t="s">
        <v>3468</v>
      </c>
      <c r="D12" s="1010" t="s">
        <v>3469</v>
      </c>
      <c r="E12" s="1012">
        <v>17550</v>
      </c>
      <c r="F12" s="1008"/>
      <c r="G12" s="1010" t="s">
        <v>3470</v>
      </c>
      <c r="H12" s="1007">
        <v>93</v>
      </c>
      <c r="I12" s="968"/>
      <c r="J12" s="968"/>
      <c r="K12" s="968"/>
      <c r="L12" s="138"/>
      <c r="M12" s="138"/>
      <c r="N12" s="138"/>
      <c r="O12" s="138"/>
      <c r="P12" s="138"/>
      <c r="Q12" s="138"/>
      <c r="R12" s="138"/>
      <c r="S12" s="138"/>
      <c r="T12" s="138"/>
      <c r="U12" s="138"/>
      <c r="V12" s="138"/>
      <c r="W12" s="138"/>
      <c r="X12" s="138"/>
      <c r="Y12" s="138"/>
      <c r="Z12" s="138"/>
      <c r="AA12" s="138"/>
      <c r="AB12" s="138"/>
    </row>
    <row r="13" spans="1:28" ht="14.25" customHeight="1">
      <c r="A13" s="1010" t="s">
        <v>3533</v>
      </c>
      <c r="B13" s="1010" t="s">
        <v>275</v>
      </c>
      <c r="C13" s="1010" t="s">
        <v>267</v>
      </c>
      <c r="D13" s="1010" t="s">
        <v>279</v>
      </c>
      <c r="E13" s="1012">
        <v>27280.25</v>
      </c>
      <c r="F13" s="1012">
        <v>-17480.23</v>
      </c>
      <c r="G13" s="1010" t="s">
        <v>3534</v>
      </c>
      <c r="H13" s="1007">
        <v>90</v>
      </c>
      <c r="I13" s="968"/>
      <c r="J13" s="968"/>
      <c r="K13" s="968"/>
      <c r="L13" s="138"/>
      <c r="M13" s="138"/>
      <c r="N13" s="138"/>
      <c r="O13" s="138"/>
      <c r="P13" s="138"/>
      <c r="Q13" s="138"/>
      <c r="R13" s="138"/>
      <c r="S13" s="138"/>
      <c r="T13" s="138"/>
      <c r="U13" s="138"/>
      <c r="V13" s="138"/>
      <c r="W13" s="138"/>
      <c r="X13" s="138"/>
      <c r="Y13" s="138"/>
      <c r="Z13" s="138"/>
      <c r="AA13" s="138"/>
      <c r="AB13" s="138"/>
    </row>
    <row r="14" spans="1:28" ht="14.25" customHeight="1">
      <c r="A14" s="1010" t="s">
        <v>3510</v>
      </c>
      <c r="B14" s="1010" t="s">
        <v>259</v>
      </c>
      <c r="C14" s="1010" t="s">
        <v>267</v>
      </c>
      <c r="D14" s="1010" t="s">
        <v>269</v>
      </c>
      <c r="E14" s="1012">
        <v>44105.05</v>
      </c>
      <c r="F14" s="1012">
        <v>-38250</v>
      </c>
      <c r="G14" s="1010" t="s">
        <v>3511</v>
      </c>
      <c r="H14" s="1014">
        <v>88</v>
      </c>
      <c r="I14" s="968"/>
      <c r="J14" s="968"/>
      <c r="K14" s="968"/>
      <c r="L14" s="138"/>
      <c r="M14" s="138"/>
      <c r="N14" s="138"/>
      <c r="O14" s="138"/>
      <c r="P14" s="138"/>
      <c r="Q14" s="138"/>
      <c r="R14" s="138"/>
      <c r="S14" s="138"/>
      <c r="T14" s="138"/>
      <c r="U14" s="138"/>
      <c r="V14" s="138"/>
      <c r="W14" s="138"/>
      <c r="X14" s="138"/>
      <c r="Y14" s="138"/>
      <c r="Z14" s="138"/>
      <c r="AA14" s="138"/>
      <c r="AB14" s="138"/>
    </row>
    <row r="15" spans="1:28" ht="14.25" customHeight="1">
      <c r="A15" s="1010" t="s">
        <v>3524</v>
      </c>
      <c r="B15" s="1010" t="s">
        <v>278</v>
      </c>
      <c r="C15" s="1010" t="s">
        <v>267</v>
      </c>
      <c r="D15" s="1010" t="s">
        <v>269</v>
      </c>
      <c r="E15" s="1012">
        <v>36415.129999999997</v>
      </c>
      <c r="F15" s="1012">
        <v>-26892</v>
      </c>
      <c r="G15" s="1010" t="s">
        <v>3525</v>
      </c>
      <c r="H15" s="1014">
        <v>82</v>
      </c>
      <c r="I15" s="968"/>
      <c r="J15" s="968"/>
      <c r="K15" s="968"/>
      <c r="L15" s="138"/>
      <c r="M15" s="138"/>
      <c r="N15" s="138"/>
      <c r="O15" s="138"/>
      <c r="P15" s="138"/>
      <c r="Q15" s="138"/>
      <c r="R15" s="138"/>
      <c r="S15" s="138"/>
      <c r="T15" s="138"/>
      <c r="U15" s="138"/>
      <c r="V15" s="138"/>
      <c r="W15" s="138"/>
      <c r="X15" s="138"/>
      <c r="Y15" s="138"/>
      <c r="Z15" s="138"/>
      <c r="AA15" s="138"/>
      <c r="AB15" s="138"/>
    </row>
    <row r="16" spans="1:28" ht="14.25" customHeight="1">
      <c r="A16" s="1010" t="s">
        <v>3518</v>
      </c>
      <c r="B16" s="1010" t="s">
        <v>278</v>
      </c>
      <c r="C16" s="1010" t="s">
        <v>267</v>
      </c>
      <c r="D16" s="1010" t="s">
        <v>260</v>
      </c>
      <c r="E16" s="1012">
        <v>27935.05</v>
      </c>
      <c r="F16" s="1008"/>
      <c r="G16" s="1010" t="s">
        <v>3519</v>
      </c>
      <c r="H16" s="1014">
        <v>76</v>
      </c>
      <c r="I16" s="968"/>
      <c r="J16" s="968"/>
      <c r="K16" s="968"/>
      <c r="L16" s="138"/>
      <c r="M16" s="138"/>
      <c r="N16" s="138"/>
      <c r="O16" s="138"/>
      <c r="P16" s="138"/>
      <c r="Q16" s="138"/>
      <c r="R16" s="138"/>
      <c r="S16" s="138"/>
      <c r="T16" s="138"/>
      <c r="U16" s="138"/>
      <c r="V16" s="138"/>
      <c r="W16" s="138"/>
      <c r="X16" s="138"/>
      <c r="Y16" s="138"/>
      <c r="Z16" s="138"/>
      <c r="AA16" s="138"/>
      <c r="AB16" s="138"/>
    </row>
    <row r="17" spans="1:28" ht="14.25" customHeight="1">
      <c r="A17" s="1010" t="s">
        <v>3544</v>
      </c>
      <c r="B17" s="1010" t="s">
        <v>280</v>
      </c>
      <c r="C17" s="1010" t="s">
        <v>3350</v>
      </c>
      <c r="D17" s="1010" t="s">
        <v>3545</v>
      </c>
      <c r="E17" s="1012">
        <v>20050</v>
      </c>
      <c r="F17" s="1008"/>
      <c r="G17" s="1010" t="s">
        <v>3546</v>
      </c>
      <c r="H17" s="1014">
        <v>74</v>
      </c>
      <c r="I17" s="968"/>
      <c r="J17" s="968"/>
      <c r="K17" s="968"/>
      <c r="L17" s="138"/>
      <c r="M17" s="138"/>
      <c r="N17" s="138"/>
      <c r="O17" s="138"/>
      <c r="P17" s="138"/>
      <c r="Q17" s="138"/>
      <c r="R17" s="138"/>
      <c r="S17" s="138"/>
      <c r="T17" s="138"/>
      <c r="U17" s="138"/>
      <c r="V17" s="138"/>
      <c r="W17" s="138"/>
      <c r="X17" s="138"/>
      <c r="Y17" s="138"/>
      <c r="Z17" s="138"/>
      <c r="AA17" s="138"/>
      <c r="AB17" s="138"/>
    </row>
    <row r="18" spans="1:28" ht="14.25" customHeight="1">
      <c r="A18" s="1010" t="s">
        <v>3537</v>
      </c>
      <c r="B18" s="1010" t="s">
        <v>266</v>
      </c>
      <c r="C18" s="1010" t="s">
        <v>267</v>
      </c>
      <c r="D18" s="1010" t="s">
        <v>260</v>
      </c>
      <c r="E18" s="1012">
        <v>20497.05</v>
      </c>
      <c r="F18" s="1008"/>
      <c r="G18" s="1010" t="s">
        <v>3538</v>
      </c>
      <c r="H18" s="1014">
        <v>72</v>
      </c>
      <c r="I18" s="968"/>
      <c r="J18" s="968"/>
      <c r="K18" s="968"/>
      <c r="L18" s="138"/>
      <c r="M18" s="138"/>
      <c r="N18" s="138"/>
      <c r="O18" s="138"/>
      <c r="P18" s="138"/>
      <c r="Q18" s="138"/>
      <c r="R18" s="138"/>
      <c r="S18" s="138"/>
      <c r="T18" s="138"/>
      <c r="U18" s="138"/>
      <c r="V18" s="138"/>
      <c r="W18" s="138"/>
      <c r="X18" s="138"/>
      <c r="Y18" s="138"/>
      <c r="Z18" s="138"/>
      <c r="AA18" s="138"/>
      <c r="AB18" s="138"/>
    </row>
    <row r="19" spans="1:28" ht="14.25" customHeight="1">
      <c r="A19" s="1010" t="s">
        <v>3520</v>
      </c>
      <c r="B19" s="1010" t="s">
        <v>278</v>
      </c>
      <c r="C19" s="1010" t="s">
        <v>267</v>
      </c>
      <c r="D19" s="1010" t="s">
        <v>260</v>
      </c>
      <c r="E19" s="1012">
        <v>28075.78</v>
      </c>
      <c r="F19" s="1012">
        <v>-23850</v>
      </c>
      <c r="G19" s="1010" t="s">
        <v>3521</v>
      </c>
      <c r="H19" s="1014">
        <v>69</v>
      </c>
      <c r="I19" s="968"/>
      <c r="J19" s="968"/>
      <c r="K19" s="968"/>
      <c r="L19" s="138"/>
      <c r="M19" s="138"/>
      <c r="N19" s="138"/>
      <c r="O19" s="138"/>
      <c r="P19" s="138"/>
      <c r="Q19" s="138"/>
      <c r="R19" s="138"/>
      <c r="S19" s="138"/>
      <c r="T19" s="138"/>
      <c r="U19" s="138"/>
      <c r="V19" s="138"/>
      <c r="W19" s="138"/>
      <c r="X19" s="138"/>
      <c r="Y19" s="138"/>
      <c r="Z19" s="138"/>
      <c r="AA19" s="138"/>
      <c r="AB19" s="138"/>
    </row>
    <row r="20" spans="1:28" ht="14.25" customHeight="1">
      <c r="A20" s="1010" t="s">
        <v>3531</v>
      </c>
      <c r="B20" s="1010" t="s">
        <v>275</v>
      </c>
      <c r="C20" s="1010" t="s">
        <v>267</v>
      </c>
      <c r="D20" s="1010" t="s">
        <v>260</v>
      </c>
      <c r="E20" s="1012">
        <v>26815.25</v>
      </c>
      <c r="F20" s="1008"/>
      <c r="G20" s="1010" t="s">
        <v>3532</v>
      </c>
      <c r="H20" s="1014">
        <v>69</v>
      </c>
      <c r="I20" s="968"/>
      <c r="J20" s="968"/>
      <c r="K20" s="968"/>
      <c r="L20" s="138"/>
      <c r="M20" s="138"/>
      <c r="N20" s="138"/>
      <c r="O20" s="138"/>
      <c r="P20" s="138"/>
      <c r="Q20" s="138"/>
      <c r="R20" s="138"/>
      <c r="S20" s="138"/>
      <c r="T20" s="138"/>
      <c r="U20" s="138"/>
      <c r="V20" s="138"/>
      <c r="W20" s="138"/>
      <c r="X20" s="138"/>
      <c r="Y20" s="138"/>
      <c r="Z20" s="138"/>
      <c r="AA20" s="138"/>
      <c r="AB20" s="138"/>
    </row>
    <row r="21" spans="1:28" ht="14.25" customHeight="1">
      <c r="A21" s="1010" t="s">
        <v>3581</v>
      </c>
      <c r="B21" s="1010" t="s">
        <v>268</v>
      </c>
      <c r="C21" s="1010" t="s">
        <v>267</v>
      </c>
      <c r="D21" s="1010" t="s">
        <v>260</v>
      </c>
      <c r="E21" s="1012">
        <v>28447.25</v>
      </c>
      <c r="F21" s="1012">
        <v>-24418.799999999999</v>
      </c>
      <c r="G21" s="1010" t="s">
        <v>3582</v>
      </c>
      <c r="H21" s="1014">
        <v>68</v>
      </c>
      <c r="I21" s="968"/>
      <c r="J21" s="968"/>
      <c r="K21" s="968"/>
      <c r="L21" s="138"/>
      <c r="M21" s="138"/>
      <c r="N21" s="138"/>
      <c r="O21" s="138"/>
      <c r="P21" s="138"/>
      <c r="Q21" s="138"/>
      <c r="R21" s="138"/>
      <c r="S21" s="138"/>
      <c r="T21" s="138"/>
      <c r="U21" s="138"/>
      <c r="V21" s="138"/>
      <c r="W21" s="138"/>
      <c r="X21" s="138"/>
      <c r="Y21" s="138"/>
      <c r="Z21" s="138"/>
      <c r="AA21" s="138"/>
      <c r="AB21" s="138"/>
    </row>
    <row r="22" spans="1:28" ht="14.25" customHeight="1">
      <c r="A22" s="1010" t="s">
        <v>3535</v>
      </c>
      <c r="B22" s="1010" t="s">
        <v>275</v>
      </c>
      <c r="C22" s="1010" t="s">
        <v>267</v>
      </c>
      <c r="D22" s="1010" t="s">
        <v>262</v>
      </c>
      <c r="E22" s="1012">
        <v>29352</v>
      </c>
      <c r="F22" s="1008"/>
      <c r="G22" s="1010" t="s">
        <v>3536</v>
      </c>
      <c r="H22" s="1014">
        <v>66</v>
      </c>
      <c r="I22" s="968"/>
      <c r="J22" s="968"/>
      <c r="K22" s="968"/>
      <c r="L22" s="138"/>
      <c r="M22" s="138"/>
      <c r="N22" s="138"/>
      <c r="O22" s="138"/>
      <c r="P22" s="138"/>
      <c r="Q22" s="138"/>
      <c r="R22" s="138"/>
      <c r="S22" s="138"/>
      <c r="T22" s="138"/>
      <c r="U22" s="138"/>
      <c r="V22" s="138"/>
      <c r="W22" s="138"/>
      <c r="X22" s="138"/>
      <c r="Y22" s="138"/>
      <c r="Z22" s="138"/>
      <c r="AA22" s="138"/>
      <c r="AB22" s="138"/>
    </row>
    <row r="23" spans="1:28" ht="14.25" customHeight="1">
      <c r="A23" s="1010" t="s">
        <v>3540</v>
      </c>
      <c r="B23" s="1010" t="s">
        <v>266</v>
      </c>
      <c r="C23" s="1010" t="s">
        <v>267</v>
      </c>
      <c r="D23" s="1010" t="s">
        <v>273</v>
      </c>
      <c r="E23" s="1012">
        <v>18787.5</v>
      </c>
      <c r="F23" s="1008"/>
      <c r="G23" s="1010" t="s">
        <v>3541</v>
      </c>
      <c r="H23" s="1014">
        <v>66</v>
      </c>
      <c r="I23" s="968"/>
      <c r="J23" s="968"/>
      <c r="K23" s="968"/>
      <c r="L23" s="138"/>
      <c r="M23" s="138"/>
      <c r="N23" s="138"/>
      <c r="O23" s="138"/>
      <c r="P23" s="138"/>
      <c r="Q23" s="138"/>
      <c r="R23" s="138"/>
      <c r="S23" s="138"/>
      <c r="T23" s="138"/>
      <c r="U23" s="138"/>
      <c r="V23" s="138"/>
      <c r="W23" s="138"/>
      <c r="X23" s="138"/>
      <c r="Y23" s="138"/>
      <c r="Z23" s="138"/>
      <c r="AA23" s="138"/>
      <c r="AB23" s="138"/>
    </row>
    <row r="24" spans="1:28" ht="14.25" customHeight="1">
      <c r="A24" s="1010" t="s">
        <v>3522</v>
      </c>
      <c r="B24" s="1010" t="s">
        <v>278</v>
      </c>
      <c r="C24" s="1010" t="s">
        <v>267</v>
      </c>
      <c r="D24" s="1010" t="s">
        <v>277</v>
      </c>
      <c r="E24" s="1012">
        <v>18043.82</v>
      </c>
      <c r="F24" s="1008"/>
      <c r="G24" s="1010" t="s">
        <v>3523</v>
      </c>
      <c r="H24" s="1014">
        <v>65</v>
      </c>
      <c r="I24" s="968"/>
      <c r="J24" s="968"/>
      <c r="K24" s="968"/>
      <c r="L24" s="138"/>
      <c r="M24" s="138"/>
      <c r="N24" s="138"/>
      <c r="O24" s="138"/>
      <c r="P24" s="138"/>
      <c r="Q24" s="138"/>
      <c r="R24" s="138"/>
      <c r="S24" s="138"/>
      <c r="T24" s="138"/>
      <c r="U24" s="138"/>
      <c r="V24" s="138"/>
      <c r="W24" s="138"/>
      <c r="X24" s="138"/>
      <c r="Y24" s="138"/>
      <c r="Z24" s="138"/>
      <c r="AA24" s="138"/>
      <c r="AB24" s="138"/>
    </row>
    <row r="25" spans="1:28" ht="14.25" customHeight="1">
      <c r="A25" s="1010" t="s">
        <v>3514</v>
      </c>
      <c r="B25" s="1010" t="s">
        <v>268</v>
      </c>
      <c r="C25" s="1010" t="s">
        <v>267</v>
      </c>
      <c r="D25" s="1010" t="s">
        <v>262</v>
      </c>
      <c r="E25" s="1012">
        <v>40209.65</v>
      </c>
      <c r="F25" s="1008"/>
      <c r="G25" s="1010" t="s">
        <v>3515</v>
      </c>
      <c r="H25" s="1014">
        <v>62</v>
      </c>
      <c r="I25" s="968"/>
      <c r="J25" s="968"/>
      <c r="K25" s="968"/>
      <c r="L25" s="138"/>
      <c r="M25" s="138"/>
      <c r="N25" s="138"/>
      <c r="O25" s="138"/>
      <c r="P25" s="138"/>
      <c r="Q25" s="138"/>
      <c r="R25" s="138"/>
      <c r="S25" s="138"/>
      <c r="T25" s="138"/>
      <c r="U25" s="138"/>
      <c r="V25" s="138"/>
      <c r="W25" s="138"/>
      <c r="X25" s="138"/>
      <c r="Y25" s="138"/>
      <c r="Z25" s="138"/>
      <c r="AA25" s="138"/>
      <c r="AB25" s="138"/>
    </row>
    <row r="26" spans="1:28" ht="14.25" customHeight="1">
      <c r="A26" s="1010" t="s">
        <v>3516</v>
      </c>
      <c r="B26" s="1010" t="s">
        <v>278</v>
      </c>
      <c r="C26" s="1010" t="s">
        <v>267</v>
      </c>
      <c r="D26" s="1010" t="s">
        <v>260</v>
      </c>
      <c r="E26" s="1012">
        <v>30620.3</v>
      </c>
      <c r="F26" s="1008"/>
      <c r="G26" s="1010" t="s">
        <v>3517</v>
      </c>
      <c r="H26" s="1014">
        <v>62</v>
      </c>
      <c r="I26" s="968"/>
      <c r="J26" s="968"/>
      <c r="K26" s="968"/>
      <c r="L26" s="138"/>
      <c r="M26" s="138"/>
      <c r="N26" s="138"/>
      <c r="O26" s="138"/>
      <c r="P26" s="138"/>
      <c r="Q26" s="138"/>
      <c r="R26" s="138"/>
      <c r="S26" s="138"/>
      <c r="T26" s="138"/>
      <c r="U26" s="138"/>
      <c r="V26" s="138"/>
      <c r="W26" s="138"/>
      <c r="X26" s="138"/>
      <c r="Y26" s="138"/>
      <c r="Z26" s="138"/>
      <c r="AA26" s="138"/>
      <c r="AB26" s="138"/>
    </row>
    <row r="27" spans="1:28" ht="14.25" customHeight="1">
      <c r="A27" s="1010" t="s">
        <v>3529</v>
      </c>
      <c r="B27" s="1010" t="s">
        <v>278</v>
      </c>
      <c r="C27" s="1010" t="s">
        <v>3472</v>
      </c>
      <c r="D27" s="1010" t="s">
        <v>3473</v>
      </c>
      <c r="E27" s="1012">
        <v>28211.38</v>
      </c>
      <c r="F27" s="1008"/>
      <c r="G27" s="1010" t="s">
        <v>3530</v>
      </c>
      <c r="H27" s="1014">
        <v>62</v>
      </c>
      <c r="I27" s="968"/>
      <c r="J27" s="968"/>
      <c r="K27" s="968"/>
      <c r="L27" s="138"/>
      <c r="M27" s="138"/>
      <c r="N27" s="138"/>
      <c r="O27" s="138"/>
      <c r="P27" s="138"/>
      <c r="Q27" s="138"/>
      <c r="R27" s="138"/>
      <c r="S27" s="138"/>
      <c r="T27" s="138"/>
      <c r="U27" s="138"/>
      <c r="V27" s="138"/>
      <c r="W27" s="138"/>
      <c r="X27" s="138"/>
      <c r="Y27" s="138"/>
      <c r="Z27" s="138"/>
      <c r="AA27" s="138"/>
      <c r="AB27" s="138"/>
    </row>
    <row r="28" spans="1:28" ht="14.25" customHeight="1">
      <c r="A28" s="1010" t="s">
        <v>3526</v>
      </c>
      <c r="B28" s="1010" t="s">
        <v>278</v>
      </c>
      <c r="C28" s="1010" t="s">
        <v>3433</v>
      </c>
      <c r="D28" s="1010" t="s">
        <v>3527</v>
      </c>
      <c r="E28" s="1012">
        <v>23550</v>
      </c>
      <c r="F28" s="1008"/>
      <c r="G28" s="1010" t="s">
        <v>3528</v>
      </c>
      <c r="H28" s="1014">
        <v>61</v>
      </c>
      <c r="I28" s="968"/>
      <c r="J28" s="968"/>
      <c r="K28" s="968"/>
      <c r="L28" s="138"/>
      <c r="M28" s="138"/>
      <c r="N28" s="138"/>
      <c r="O28" s="138"/>
      <c r="P28" s="138"/>
      <c r="Q28" s="138"/>
      <c r="R28" s="138"/>
      <c r="S28" s="138"/>
      <c r="T28" s="138"/>
      <c r="U28" s="138"/>
      <c r="V28" s="138"/>
      <c r="W28" s="138"/>
      <c r="X28" s="138"/>
      <c r="Y28" s="138"/>
      <c r="Z28" s="138"/>
      <c r="AA28" s="138"/>
      <c r="AB28" s="138"/>
    </row>
    <row r="29" spans="1:28" ht="14.25" customHeight="1">
      <c r="A29" s="1010" t="s">
        <v>3583</v>
      </c>
      <c r="B29" s="1010" t="s">
        <v>259</v>
      </c>
      <c r="C29" s="1010" t="s">
        <v>267</v>
      </c>
      <c r="D29" s="1010" t="s">
        <v>260</v>
      </c>
      <c r="E29" s="1012">
        <v>36524.6</v>
      </c>
      <c r="F29" s="1008"/>
      <c r="G29" s="1010" t="s">
        <v>3584</v>
      </c>
      <c r="H29" s="1014">
        <v>60</v>
      </c>
      <c r="I29" s="968"/>
      <c r="J29" s="968"/>
      <c r="K29" s="968"/>
      <c r="L29" s="138"/>
      <c r="M29" s="138"/>
      <c r="N29" s="138"/>
      <c r="O29" s="138"/>
      <c r="P29" s="138"/>
      <c r="Q29" s="138"/>
      <c r="R29" s="138"/>
      <c r="S29" s="138"/>
      <c r="T29" s="138"/>
      <c r="U29" s="138"/>
      <c r="V29" s="138"/>
      <c r="W29" s="138"/>
      <c r="X29" s="138"/>
      <c r="Y29" s="138"/>
      <c r="Z29" s="138"/>
      <c r="AA29" s="138"/>
      <c r="AB29" s="138"/>
    </row>
    <row r="30" spans="1:28" ht="14.25" customHeight="1">
      <c r="A30" s="1010" t="s">
        <v>3585</v>
      </c>
      <c r="B30" s="1010" t="s">
        <v>278</v>
      </c>
      <c r="C30" s="1010" t="s">
        <v>267</v>
      </c>
      <c r="D30" s="1010" t="s">
        <v>260</v>
      </c>
      <c r="E30" s="1012">
        <v>24346.21</v>
      </c>
      <c r="F30" s="1012">
        <v>-16047.88</v>
      </c>
      <c r="G30" s="1010" t="s">
        <v>3586</v>
      </c>
      <c r="H30" s="1014">
        <v>60</v>
      </c>
      <c r="I30" s="968"/>
      <c r="J30" s="968"/>
      <c r="K30" s="968"/>
      <c r="L30" s="138"/>
      <c r="M30" s="138"/>
      <c r="N30" s="138"/>
      <c r="O30" s="138"/>
      <c r="P30" s="138"/>
      <c r="Q30" s="138"/>
      <c r="R30" s="138"/>
      <c r="S30" s="138"/>
      <c r="T30" s="138"/>
      <c r="U30" s="138"/>
      <c r="V30" s="138"/>
      <c r="W30" s="138"/>
      <c r="X30" s="138"/>
      <c r="Y30" s="138"/>
      <c r="Z30" s="138"/>
      <c r="AA30" s="138"/>
      <c r="AB30" s="138"/>
    </row>
    <row r="31" spans="1:28" ht="14.25" customHeight="1">
      <c r="A31" s="1010" t="s">
        <v>3587</v>
      </c>
      <c r="B31" s="1010" t="s">
        <v>275</v>
      </c>
      <c r="C31" s="1010" t="s">
        <v>267</v>
      </c>
      <c r="D31" s="1010" t="s">
        <v>273</v>
      </c>
      <c r="E31" s="1012">
        <v>18530.25</v>
      </c>
      <c r="F31" s="1008"/>
      <c r="G31" s="1010" t="s">
        <v>3588</v>
      </c>
      <c r="H31" s="1014">
        <v>60</v>
      </c>
      <c r="I31" s="968"/>
      <c r="J31" s="968"/>
      <c r="K31" s="968"/>
      <c r="L31" s="138"/>
      <c r="M31" s="138"/>
      <c r="N31" s="138"/>
      <c r="O31" s="138"/>
      <c r="P31" s="138"/>
      <c r="Q31" s="138"/>
      <c r="R31" s="138"/>
      <c r="S31" s="138"/>
      <c r="T31" s="138"/>
      <c r="U31" s="138"/>
      <c r="V31" s="138"/>
      <c r="W31" s="138"/>
      <c r="X31" s="138"/>
      <c r="Y31" s="138"/>
      <c r="Z31" s="138"/>
      <c r="AA31" s="138"/>
      <c r="AB31" s="138"/>
    </row>
    <row r="32" spans="1:28" ht="14.25" customHeight="1">
      <c r="A32" s="1010" t="s">
        <v>3512</v>
      </c>
      <c r="B32" s="1010" t="s">
        <v>268</v>
      </c>
      <c r="C32" s="1010" t="s">
        <v>267</v>
      </c>
      <c r="D32" s="1010" t="s">
        <v>260</v>
      </c>
      <c r="E32" s="1012">
        <v>29670.31</v>
      </c>
      <c r="F32" s="1012">
        <v>-25505.1</v>
      </c>
      <c r="G32" s="1010" t="s">
        <v>3513</v>
      </c>
      <c r="H32" s="1014">
        <v>59</v>
      </c>
      <c r="I32" s="968"/>
      <c r="J32" s="968"/>
      <c r="K32" s="968"/>
      <c r="L32" s="138"/>
      <c r="M32" s="138"/>
      <c r="N32" s="138"/>
      <c r="O32" s="138"/>
      <c r="P32" s="138"/>
      <c r="Q32" s="138"/>
      <c r="R32" s="138"/>
      <c r="S32" s="138"/>
      <c r="T32" s="138"/>
      <c r="U32" s="138"/>
      <c r="V32" s="138"/>
      <c r="W32" s="138"/>
      <c r="X32" s="138"/>
      <c r="Y32" s="138"/>
      <c r="Z32" s="138"/>
      <c r="AA32" s="138"/>
      <c r="AB32" s="138"/>
    </row>
    <row r="33" spans="1:28" ht="14.25" customHeight="1">
      <c r="A33" s="1010" t="s">
        <v>3589</v>
      </c>
      <c r="B33" s="1010" t="s">
        <v>278</v>
      </c>
      <c r="C33" s="1010" t="s">
        <v>267</v>
      </c>
      <c r="D33" s="1010" t="s">
        <v>277</v>
      </c>
      <c r="E33" s="1012">
        <v>22965.200000000001</v>
      </c>
      <c r="F33" s="1008"/>
      <c r="G33" s="1010" t="s">
        <v>3590</v>
      </c>
      <c r="H33" s="1014">
        <v>55</v>
      </c>
      <c r="I33" s="968"/>
      <c r="J33" s="968"/>
      <c r="K33" s="968"/>
      <c r="L33" s="943"/>
      <c r="M33" s="138"/>
      <c r="N33" s="138"/>
      <c r="O33" s="138"/>
      <c r="P33" s="138"/>
      <c r="Q33" s="138"/>
      <c r="R33" s="138"/>
      <c r="S33" s="138"/>
      <c r="T33" s="138"/>
      <c r="U33" s="138"/>
      <c r="V33" s="138"/>
      <c r="W33" s="138"/>
      <c r="X33" s="138"/>
      <c r="Y33" s="138"/>
      <c r="Z33" s="138"/>
      <c r="AA33" s="138"/>
      <c r="AB33" s="138"/>
    </row>
    <row r="34" spans="1:28" ht="14.25" customHeight="1">
      <c r="A34" s="1010" t="s">
        <v>3750</v>
      </c>
      <c r="B34" s="1010" t="s">
        <v>268</v>
      </c>
      <c r="C34" s="1010" t="s">
        <v>267</v>
      </c>
      <c r="D34" s="1010" t="s">
        <v>260</v>
      </c>
      <c r="E34" s="1012">
        <v>31666.799999999999</v>
      </c>
      <c r="F34" s="1012">
        <v>-33046.589999999997</v>
      </c>
      <c r="G34" s="1010" t="s">
        <v>3751</v>
      </c>
      <c r="H34" s="1014">
        <v>54</v>
      </c>
      <c r="I34" s="968"/>
      <c r="J34" s="968"/>
      <c r="K34" s="968"/>
      <c r="L34" s="138"/>
      <c r="M34" s="138"/>
      <c r="N34" s="138"/>
      <c r="O34" s="138"/>
      <c r="P34" s="138"/>
      <c r="Q34" s="138"/>
      <c r="R34" s="138"/>
      <c r="S34" s="138"/>
      <c r="T34" s="138"/>
      <c r="U34" s="138"/>
      <c r="V34" s="138"/>
      <c r="W34" s="138"/>
      <c r="X34" s="138"/>
      <c r="Y34" s="138"/>
      <c r="Z34" s="138"/>
      <c r="AA34" s="138"/>
      <c r="AB34" s="138"/>
    </row>
    <row r="35" spans="1:28" ht="14.25" customHeight="1">
      <c r="A35" s="1010" t="s">
        <v>3591</v>
      </c>
      <c r="B35" s="1010" t="s">
        <v>275</v>
      </c>
      <c r="C35" s="1010" t="s">
        <v>267</v>
      </c>
      <c r="D35" s="1010" t="s">
        <v>260</v>
      </c>
      <c r="E35" s="1012">
        <v>24846.26</v>
      </c>
      <c r="F35" s="1008"/>
      <c r="G35" s="1010" t="s">
        <v>3592</v>
      </c>
      <c r="H35" s="1014">
        <v>53</v>
      </c>
      <c r="I35" s="968"/>
      <c r="J35" s="968"/>
      <c r="K35" s="968"/>
      <c r="L35" s="138"/>
      <c r="M35" s="138"/>
      <c r="N35" s="138"/>
      <c r="O35" s="138"/>
      <c r="P35" s="138"/>
      <c r="Q35" s="138"/>
      <c r="R35" s="138"/>
      <c r="S35" s="138"/>
      <c r="T35" s="138"/>
      <c r="U35" s="138"/>
      <c r="V35" s="138"/>
      <c r="W35" s="138"/>
      <c r="X35" s="138"/>
      <c r="Y35" s="138"/>
      <c r="Z35" s="138"/>
      <c r="AA35" s="138"/>
      <c r="AB35" s="138"/>
    </row>
    <row r="36" spans="1:28" ht="14.25" customHeight="1">
      <c r="A36" s="1010" t="s">
        <v>3593</v>
      </c>
      <c r="B36" s="1010" t="s">
        <v>278</v>
      </c>
      <c r="C36" s="1010" t="s">
        <v>267</v>
      </c>
      <c r="D36" s="1010" t="s">
        <v>277</v>
      </c>
      <c r="E36" s="1012">
        <v>19323.740000000002</v>
      </c>
      <c r="F36" s="1008"/>
      <c r="G36" s="1010" t="s">
        <v>3594</v>
      </c>
      <c r="H36" s="1014">
        <v>51</v>
      </c>
      <c r="I36" s="968"/>
      <c r="J36" s="968"/>
      <c r="K36" s="968"/>
      <c r="L36" s="138"/>
      <c r="M36" s="138"/>
      <c r="N36" s="138"/>
      <c r="O36" s="138"/>
      <c r="P36" s="138"/>
      <c r="Q36" s="138"/>
      <c r="R36" s="138"/>
      <c r="S36" s="138"/>
      <c r="T36" s="138"/>
      <c r="U36" s="138"/>
      <c r="V36" s="138"/>
      <c r="W36" s="138"/>
      <c r="X36" s="138"/>
      <c r="Y36" s="138"/>
      <c r="Z36" s="138"/>
      <c r="AA36" s="138"/>
      <c r="AB36" s="138"/>
    </row>
    <row r="37" spans="1:28" ht="14.25" customHeight="1">
      <c r="A37" s="1010" t="s">
        <v>3595</v>
      </c>
      <c r="B37" s="1010" t="s">
        <v>275</v>
      </c>
      <c r="C37" s="1010" t="s">
        <v>267</v>
      </c>
      <c r="D37" s="1010" t="s">
        <v>273</v>
      </c>
      <c r="E37" s="1012">
        <v>18294.75</v>
      </c>
      <c r="F37" s="1008"/>
      <c r="G37" s="1010" t="s">
        <v>3596</v>
      </c>
      <c r="H37" s="1014">
        <v>48</v>
      </c>
      <c r="I37" s="968"/>
      <c r="J37" s="968"/>
      <c r="K37" s="968"/>
      <c r="L37" s="138"/>
      <c r="M37" s="138"/>
      <c r="N37" s="138"/>
      <c r="O37" s="138"/>
      <c r="P37" s="138"/>
      <c r="Q37" s="138"/>
      <c r="R37" s="138"/>
      <c r="S37" s="138"/>
      <c r="T37" s="138"/>
      <c r="U37" s="138"/>
      <c r="V37" s="138"/>
      <c r="W37" s="138"/>
      <c r="X37" s="138"/>
      <c r="Y37" s="138"/>
      <c r="Z37" s="138"/>
      <c r="AA37" s="138"/>
      <c r="AB37" s="138"/>
    </row>
    <row r="38" spans="1:28" ht="14.25" customHeight="1">
      <c r="A38" s="1010" t="s">
        <v>3597</v>
      </c>
      <c r="B38" s="1010" t="s">
        <v>266</v>
      </c>
      <c r="C38" s="1010" t="s">
        <v>267</v>
      </c>
      <c r="D38" s="1010" t="s">
        <v>273</v>
      </c>
      <c r="E38" s="1012">
        <v>16745.3</v>
      </c>
      <c r="F38" s="1008"/>
      <c r="G38" s="1010" t="s">
        <v>3598</v>
      </c>
      <c r="H38" s="1014">
        <v>48</v>
      </c>
      <c r="I38" s="968"/>
      <c r="J38" s="968"/>
      <c r="K38" s="968"/>
      <c r="L38" s="138"/>
      <c r="M38" s="138"/>
      <c r="N38" s="138"/>
      <c r="O38" s="138"/>
      <c r="P38" s="138"/>
      <c r="Q38" s="138"/>
      <c r="R38" s="138"/>
      <c r="S38" s="138"/>
      <c r="T38" s="138"/>
      <c r="U38" s="138"/>
      <c r="V38" s="138"/>
      <c r="W38" s="138"/>
      <c r="X38" s="138"/>
      <c r="Y38" s="138"/>
      <c r="Z38" s="138"/>
      <c r="AA38" s="138"/>
      <c r="AB38" s="138"/>
    </row>
    <row r="39" spans="1:28" ht="14.25" customHeight="1">
      <c r="A39" s="1010" t="s">
        <v>3599</v>
      </c>
      <c r="B39" s="1010" t="s">
        <v>259</v>
      </c>
      <c r="C39" s="1010" t="s">
        <v>267</v>
      </c>
      <c r="D39" s="1010" t="s">
        <v>262</v>
      </c>
      <c r="E39" s="1012">
        <v>49927.29</v>
      </c>
      <c r="F39" s="1008"/>
      <c r="G39" s="1010" t="s">
        <v>3600</v>
      </c>
      <c r="H39" s="1014">
        <v>47</v>
      </c>
      <c r="I39" s="968"/>
      <c r="J39" s="968"/>
      <c r="K39" s="968"/>
      <c r="L39" s="138"/>
      <c r="M39" s="138"/>
      <c r="N39" s="138"/>
      <c r="O39" s="138"/>
      <c r="P39" s="138"/>
      <c r="Q39" s="138"/>
      <c r="R39" s="138"/>
      <c r="S39" s="138"/>
      <c r="T39" s="138"/>
      <c r="U39" s="138"/>
      <c r="V39" s="138"/>
      <c r="W39" s="138"/>
      <c r="X39" s="138"/>
      <c r="Y39" s="138"/>
      <c r="Z39" s="138"/>
      <c r="AA39" s="138"/>
      <c r="AB39" s="138"/>
    </row>
    <row r="40" spans="1:28" ht="14.25" customHeight="1">
      <c r="A40" s="1010" t="s">
        <v>3601</v>
      </c>
      <c r="B40" s="1010" t="s">
        <v>278</v>
      </c>
      <c r="C40" s="1010" t="s">
        <v>267</v>
      </c>
      <c r="D40" s="1010" t="s">
        <v>260</v>
      </c>
      <c r="E40" s="1012">
        <v>24483.1</v>
      </c>
      <c r="F40" s="1012">
        <v>-18876</v>
      </c>
      <c r="G40" s="1010" t="s">
        <v>3602</v>
      </c>
      <c r="H40" s="1014">
        <v>47</v>
      </c>
      <c r="I40" s="968"/>
      <c r="J40" s="968"/>
      <c r="K40" s="968"/>
      <c r="L40" s="138"/>
      <c r="M40" s="138"/>
      <c r="N40" s="138"/>
      <c r="O40" s="138"/>
      <c r="P40" s="138"/>
      <c r="Q40" s="138"/>
      <c r="R40" s="138"/>
      <c r="S40" s="138"/>
      <c r="T40" s="138"/>
      <c r="U40" s="138"/>
      <c r="V40" s="138"/>
      <c r="W40" s="138"/>
      <c r="X40" s="138"/>
      <c r="Y40" s="138"/>
      <c r="Z40" s="138"/>
      <c r="AA40" s="138"/>
      <c r="AB40" s="138"/>
    </row>
    <row r="41" spans="1:28" ht="14.25" customHeight="1">
      <c r="A41" s="1010" t="s">
        <v>3603</v>
      </c>
      <c r="B41" s="1010" t="s">
        <v>275</v>
      </c>
      <c r="C41" s="1010" t="s">
        <v>267</v>
      </c>
      <c r="D41" s="1010" t="s">
        <v>273</v>
      </c>
      <c r="E41" s="1012">
        <v>21779.599999999999</v>
      </c>
      <c r="F41" s="1008"/>
      <c r="G41" s="1010" t="s">
        <v>3604</v>
      </c>
      <c r="H41" s="1014">
        <v>47</v>
      </c>
      <c r="I41" s="968"/>
      <c r="J41" s="968"/>
      <c r="K41" s="968"/>
      <c r="L41" s="138"/>
      <c r="M41" s="138"/>
      <c r="N41" s="138"/>
      <c r="O41" s="138"/>
      <c r="P41" s="138"/>
      <c r="Q41" s="138"/>
      <c r="R41" s="138"/>
      <c r="S41" s="138"/>
      <c r="T41" s="138"/>
      <c r="U41" s="138"/>
      <c r="V41" s="138"/>
      <c r="W41" s="138"/>
      <c r="X41" s="138"/>
      <c r="Y41" s="138"/>
      <c r="Z41" s="138"/>
      <c r="AA41" s="138"/>
      <c r="AB41" s="138"/>
    </row>
    <row r="42" spans="1:28" ht="14.25" customHeight="1">
      <c r="A42" s="1010" t="s">
        <v>3605</v>
      </c>
      <c r="B42" s="1010" t="s">
        <v>268</v>
      </c>
      <c r="C42" s="1010" t="s">
        <v>267</v>
      </c>
      <c r="D42" s="1010" t="s">
        <v>273</v>
      </c>
      <c r="E42" s="1012">
        <v>21350</v>
      </c>
      <c r="F42" s="1008"/>
      <c r="G42" s="1010" t="s">
        <v>3606</v>
      </c>
      <c r="H42" s="1014">
        <v>45</v>
      </c>
      <c r="I42" s="968"/>
      <c r="J42" s="968"/>
      <c r="K42" s="968"/>
      <c r="L42" s="138"/>
      <c r="M42" s="138"/>
      <c r="N42" s="138"/>
      <c r="O42" s="138"/>
      <c r="P42" s="138"/>
      <c r="Q42" s="138"/>
      <c r="R42" s="138"/>
      <c r="S42" s="138"/>
      <c r="T42" s="138"/>
      <c r="U42" s="138"/>
      <c r="V42" s="138"/>
      <c r="W42" s="138"/>
      <c r="X42" s="138"/>
      <c r="Y42" s="138"/>
      <c r="Z42" s="138"/>
      <c r="AA42" s="138"/>
      <c r="AB42" s="138"/>
    </row>
    <row r="43" spans="1:28" ht="14.25" customHeight="1">
      <c r="A43" s="1010" t="s">
        <v>3607</v>
      </c>
      <c r="B43" s="1010" t="s">
        <v>275</v>
      </c>
      <c r="C43" s="1010" t="s">
        <v>267</v>
      </c>
      <c r="D43" s="1010" t="s">
        <v>277</v>
      </c>
      <c r="E43" s="1012">
        <v>17488.18</v>
      </c>
      <c r="F43" s="1008"/>
      <c r="G43" s="1010" t="s">
        <v>3608</v>
      </c>
      <c r="H43" s="1014">
        <v>45</v>
      </c>
      <c r="I43" s="968"/>
      <c r="J43" s="968"/>
      <c r="K43" s="968"/>
      <c r="L43" s="138"/>
      <c r="M43" s="138"/>
      <c r="N43" s="138"/>
      <c r="O43" s="138"/>
      <c r="P43" s="138"/>
      <c r="Q43" s="138"/>
      <c r="R43" s="138"/>
      <c r="S43" s="138"/>
      <c r="T43" s="138"/>
      <c r="U43" s="138"/>
      <c r="V43" s="138"/>
      <c r="W43" s="138"/>
      <c r="X43" s="138"/>
      <c r="Y43" s="138"/>
      <c r="Z43" s="138"/>
      <c r="AA43" s="138"/>
      <c r="AB43" s="138"/>
    </row>
    <row r="44" spans="1:28" ht="14.25" customHeight="1">
      <c r="A44" s="1010" t="s">
        <v>3609</v>
      </c>
      <c r="B44" s="1010" t="s">
        <v>278</v>
      </c>
      <c r="C44" s="1010" t="s">
        <v>267</v>
      </c>
      <c r="D44" s="1010" t="s">
        <v>277</v>
      </c>
      <c r="E44" s="1012">
        <v>18370.25</v>
      </c>
      <c r="F44" s="1008"/>
      <c r="G44" s="1010" t="s">
        <v>3610</v>
      </c>
      <c r="H44" s="1014">
        <v>44</v>
      </c>
      <c r="I44" s="968"/>
      <c r="J44" s="968"/>
      <c r="K44" s="968"/>
      <c r="L44" s="138"/>
      <c r="M44" s="138"/>
      <c r="N44" s="138"/>
      <c r="O44" s="138"/>
      <c r="P44" s="138"/>
      <c r="Q44" s="138"/>
      <c r="R44" s="138"/>
      <c r="S44" s="138"/>
      <c r="T44" s="138"/>
      <c r="U44" s="138"/>
      <c r="V44" s="138"/>
      <c r="W44" s="138"/>
      <c r="X44" s="138"/>
      <c r="Y44" s="138"/>
      <c r="Z44" s="138"/>
      <c r="AA44" s="138"/>
      <c r="AB44" s="138"/>
    </row>
    <row r="45" spans="1:28" ht="14.25" customHeight="1">
      <c r="A45" s="1010" t="s">
        <v>3611</v>
      </c>
      <c r="B45" s="1010" t="s">
        <v>266</v>
      </c>
      <c r="C45" s="1010" t="s">
        <v>267</v>
      </c>
      <c r="D45" s="1010" t="s">
        <v>260</v>
      </c>
      <c r="E45" s="1012">
        <v>20165.3</v>
      </c>
      <c r="F45" s="1008"/>
      <c r="G45" s="1010" t="s">
        <v>3612</v>
      </c>
      <c r="H45" s="1014">
        <v>44</v>
      </c>
      <c r="I45" s="968"/>
      <c r="J45" s="968"/>
      <c r="K45" s="968"/>
      <c r="L45" s="138"/>
      <c r="M45" s="138"/>
      <c r="N45" s="138"/>
      <c r="O45" s="138"/>
      <c r="P45" s="138"/>
      <c r="Q45" s="138"/>
      <c r="R45" s="138"/>
      <c r="S45" s="138"/>
      <c r="T45" s="138"/>
      <c r="U45" s="138"/>
      <c r="V45" s="138"/>
      <c r="W45" s="138"/>
      <c r="X45" s="138"/>
      <c r="Y45" s="138"/>
      <c r="Z45" s="138"/>
      <c r="AA45" s="138"/>
      <c r="AB45" s="138"/>
    </row>
    <row r="46" spans="1:28" ht="14.25" customHeight="1">
      <c r="A46" s="1010" t="s">
        <v>3752</v>
      </c>
      <c r="B46" s="1010" t="s">
        <v>3339</v>
      </c>
      <c r="C46" s="1010" t="s">
        <v>3472</v>
      </c>
      <c r="D46" s="1010" t="s">
        <v>3753</v>
      </c>
      <c r="E46" s="1012">
        <v>15050</v>
      </c>
      <c r="F46" s="1008"/>
      <c r="G46" s="1010" t="s">
        <v>3754</v>
      </c>
      <c r="H46" s="1014">
        <v>44</v>
      </c>
      <c r="I46" s="968"/>
      <c r="J46" s="968"/>
      <c r="K46" s="968"/>
      <c r="L46" s="138"/>
      <c r="M46" s="138"/>
      <c r="N46" s="138"/>
      <c r="O46" s="138"/>
      <c r="P46" s="138"/>
      <c r="Q46" s="138"/>
      <c r="R46" s="138"/>
      <c r="S46" s="138"/>
      <c r="T46" s="138"/>
      <c r="U46" s="138"/>
      <c r="V46" s="138"/>
      <c r="W46" s="138"/>
      <c r="X46" s="138"/>
      <c r="Y46" s="138"/>
      <c r="Z46" s="138"/>
      <c r="AA46" s="138"/>
      <c r="AB46" s="138"/>
    </row>
    <row r="47" spans="1:28" ht="14.25" customHeight="1">
      <c r="A47" s="1010" t="s">
        <v>3613</v>
      </c>
      <c r="B47" s="1010" t="s">
        <v>278</v>
      </c>
      <c r="C47" s="1010" t="s">
        <v>267</v>
      </c>
      <c r="D47" s="1010" t="s">
        <v>277</v>
      </c>
      <c r="E47" s="1012">
        <v>21360.2</v>
      </c>
      <c r="F47" s="1008"/>
      <c r="G47" s="1010" t="s">
        <v>3614</v>
      </c>
      <c r="H47" s="1014">
        <v>41</v>
      </c>
      <c r="I47" s="968"/>
      <c r="J47" s="968"/>
      <c r="K47" s="968"/>
      <c r="L47" s="138"/>
      <c r="M47" s="138"/>
      <c r="N47" s="138"/>
      <c r="O47" s="138"/>
      <c r="P47" s="138"/>
      <c r="Q47" s="138"/>
      <c r="R47" s="138"/>
      <c r="S47" s="138"/>
      <c r="T47" s="138"/>
      <c r="U47" s="138"/>
      <c r="V47" s="138"/>
      <c r="W47" s="138"/>
      <c r="X47" s="138"/>
      <c r="Y47" s="138"/>
      <c r="Z47" s="138"/>
      <c r="AA47" s="138"/>
      <c r="AB47" s="138"/>
    </row>
    <row r="48" spans="1:28" ht="14.25" customHeight="1">
      <c r="A48" s="1010" t="s">
        <v>3615</v>
      </c>
      <c r="B48" s="1010" t="s">
        <v>268</v>
      </c>
      <c r="C48" s="1010" t="s">
        <v>267</v>
      </c>
      <c r="D48" s="1010" t="s">
        <v>277</v>
      </c>
      <c r="E48" s="1012">
        <v>25003.85</v>
      </c>
      <c r="F48" s="1012">
        <v>-21330</v>
      </c>
      <c r="G48" s="1010" t="s">
        <v>3616</v>
      </c>
      <c r="H48" s="1014">
        <v>40</v>
      </c>
      <c r="I48" s="968"/>
      <c r="J48" s="968"/>
      <c r="K48" s="968"/>
      <c r="L48" s="138"/>
      <c r="M48" s="138"/>
      <c r="N48" s="138"/>
      <c r="O48" s="138"/>
      <c r="P48" s="138"/>
      <c r="Q48" s="138"/>
      <c r="R48" s="138"/>
      <c r="S48" s="138"/>
      <c r="T48" s="138"/>
      <c r="U48" s="138"/>
      <c r="V48" s="138"/>
      <c r="W48" s="138"/>
      <c r="X48" s="138"/>
      <c r="Y48" s="138"/>
      <c r="Z48" s="138"/>
      <c r="AA48" s="138"/>
      <c r="AB48" s="138"/>
    </row>
    <row r="49" spans="1:28" ht="14.25" customHeight="1">
      <c r="A49" s="1010" t="s">
        <v>3617</v>
      </c>
      <c r="B49" s="1010" t="s">
        <v>278</v>
      </c>
      <c r="C49" s="1010" t="s">
        <v>267</v>
      </c>
      <c r="D49" s="1010" t="s">
        <v>260</v>
      </c>
      <c r="E49" s="1012">
        <v>24894.97</v>
      </c>
      <c r="F49" s="1008"/>
      <c r="G49" s="1010" t="s">
        <v>3618</v>
      </c>
      <c r="H49" s="1014">
        <v>40</v>
      </c>
      <c r="I49" s="968"/>
      <c r="J49" s="968"/>
      <c r="K49" s="968"/>
      <c r="L49" s="138"/>
      <c r="M49" s="138"/>
      <c r="N49" s="138"/>
      <c r="O49" s="138"/>
      <c r="P49" s="138"/>
      <c r="Q49" s="138"/>
      <c r="R49" s="138"/>
      <c r="S49" s="138"/>
      <c r="T49" s="138"/>
      <c r="U49" s="138"/>
      <c r="V49" s="138"/>
      <c r="W49" s="138"/>
      <c r="X49" s="138"/>
      <c r="Y49" s="138"/>
      <c r="Z49" s="138"/>
      <c r="AA49" s="138"/>
      <c r="AB49" s="138"/>
    </row>
    <row r="50" spans="1:28" ht="14.25" customHeight="1">
      <c r="A50" s="1010" t="s">
        <v>3619</v>
      </c>
      <c r="B50" s="1010" t="s">
        <v>275</v>
      </c>
      <c r="C50" s="1010" t="s">
        <v>267</v>
      </c>
      <c r="D50" s="1010" t="s">
        <v>260</v>
      </c>
      <c r="E50" s="1012">
        <v>27870.3</v>
      </c>
      <c r="F50" s="1008"/>
      <c r="G50" s="1010" t="s">
        <v>3620</v>
      </c>
      <c r="H50" s="1014">
        <v>40</v>
      </c>
      <c r="I50" s="968"/>
      <c r="J50" s="968"/>
      <c r="K50" s="968"/>
      <c r="L50" s="138"/>
      <c r="M50" s="138"/>
      <c r="N50" s="138"/>
      <c r="O50" s="138"/>
      <c r="P50" s="138"/>
      <c r="Q50" s="138"/>
      <c r="R50" s="138"/>
      <c r="S50" s="138"/>
      <c r="T50" s="138"/>
      <c r="U50" s="138"/>
      <c r="V50" s="138"/>
      <c r="W50" s="138"/>
      <c r="X50" s="138"/>
      <c r="Y50" s="138"/>
      <c r="Z50" s="138"/>
      <c r="AA50" s="138"/>
      <c r="AB50" s="138"/>
    </row>
    <row r="51" spans="1:28" ht="14.25" customHeight="1">
      <c r="A51" s="1010" t="s">
        <v>3621</v>
      </c>
      <c r="B51" s="1010" t="s">
        <v>268</v>
      </c>
      <c r="C51" s="1010" t="s">
        <v>267</v>
      </c>
      <c r="D51" s="1010" t="s">
        <v>277</v>
      </c>
      <c r="E51" s="1012">
        <v>24530.400000000001</v>
      </c>
      <c r="F51" s="1008"/>
      <c r="G51" s="1010" t="s">
        <v>3622</v>
      </c>
      <c r="H51" s="1014">
        <v>37</v>
      </c>
      <c r="I51" s="968"/>
      <c r="J51" s="968"/>
      <c r="K51" s="968"/>
      <c r="L51" s="138"/>
      <c r="M51" s="138"/>
      <c r="N51" s="138"/>
      <c r="O51" s="138"/>
      <c r="P51" s="138"/>
      <c r="Q51" s="138"/>
      <c r="R51" s="138"/>
      <c r="S51" s="138"/>
      <c r="T51" s="138"/>
      <c r="U51" s="138"/>
      <c r="V51" s="138"/>
      <c r="W51" s="138"/>
      <c r="X51" s="138"/>
      <c r="Y51" s="138"/>
      <c r="Z51" s="138"/>
      <c r="AA51" s="138"/>
      <c r="AB51" s="138"/>
    </row>
    <row r="52" spans="1:28" ht="14.25" customHeight="1">
      <c r="A52" s="1010" t="s">
        <v>3623</v>
      </c>
      <c r="B52" s="1010" t="s">
        <v>3624</v>
      </c>
      <c r="C52" s="1010" t="s">
        <v>267</v>
      </c>
      <c r="D52" s="1010" t="s">
        <v>3625</v>
      </c>
      <c r="E52" s="1012">
        <v>4314.03</v>
      </c>
      <c r="F52" s="1008"/>
      <c r="G52" s="1010" t="s">
        <v>3626</v>
      </c>
      <c r="H52" s="1014">
        <v>37</v>
      </c>
      <c r="I52" s="968"/>
      <c r="J52" s="968"/>
      <c r="K52" s="968"/>
      <c r="L52" s="138"/>
      <c r="M52" s="138"/>
      <c r="N52" s="138"/>
      <c r="O52" s="138"/>
      <c r="P52" s="138"/>
      <c r="Q52" s="138"/>
      <c r="R52" s="138"/>
      <c r="S52" s="138"/>
      <c r="T52" s="138"/>
      <c r="U52" s="138"/>
      <c r="V52" s="138"/>
      <c r="W52" s="138"/>
      <c r="X52" s="138"/>
      <c r="Y52" s="138"/>
      <c r="Z52" s="138"/>
      <c r="AA52" s="138"/>
      <c r="AB52" s="138"/>
    </row>
    <row r="53" spans="1:28" ht="14.25" customHeight="1">
      <c r="A53" s="1010" t="s">
        <v>3629</v>
      </c>
      <c r="B53" s="1010" t="s">
        <v>268</v>
      </c>
      <c r="C53" s="1010" t="s">
        <v>267</v>
      </c>
      <c r="D53" s="1010" t="s">
        <v>277</v>
      </c>
      <c r="E53" s="1012">
        <v>24447.5</v>
      </c>
      <c r="F53" s="1008"/>
      <c r="G53" s="1010" t="s">
        <v>3630</v>
      </c>
      <c r="H53" s="1014">
        <v>33</v>
      </c>
      <c r="I53" s="968"/>
      <c r="J53" s="968"/>
      <c r="K53" s="968"/>
      <c r="L53" s="138"/>
      <c r="M53" s="138"/>
      <c r="N53" s="138"/>
      <c r="O53" s="138"/>
      <c r="P53" s="138"/>
      <c r="Q53" s="138"/>
      <c r="R53" s="138"/>
      <c r="S53" s="138"/>
      <c r="T53" s="138"/>
      <c r="U53" s="138"/>
      <c r="V53" s="138"/>
      <c r="W53" s="138"/>
      <c r="X53" s="138"/>
      <c r="Y53" s="138"/>
      <c r="Z53" s="138"/>
      <c r="AA53" s="138"/>
      <c r="AB53" s="138"/>
    </row>
    <row r="54" spans="1:28" ht="14.25" customHeight="1">
      <c r="A54" s="1010" t="s">
        <v>3631</v>
      </c>
      <c r="B54" s="1010" t="s">
        <v>275</v>
      </c>
      <c r="C54" s="1010" t="s">
        <v>267</v>
      </c>
      <c r="D54" s="1010" t="s">
        <v>273</v>
      </c>
      <c r="E54" s="1012">
        <v>20373.45</v>
      </c>
      <c r="F54" s="1012">
        <v>-12553.38</v>
      </c>
      <c r="G54" s="1010" t="s">
        <v>3632</v>
      </c>
      <c r="H54" s="1014">
        <v>33</v>
      </c>
      <c r="I54" s="968"/>
      <c r="J54" s="968"/>
      <c r="K54" s="968"/>
      <c r="L54" s="138"/>
      <c r="M54" s="138"/>
      <c r="N54" s="138"/>
      <c r="O54" s="138"/>
      <c r="P54" s="138"/>
      <c r="Q54" s="138"/>
      <c r="R54" s="138"/>
      <c r="S54" s="138"/>
      <c r="T54" s="138"/>
      <c r="U54" s="138"/>
      <c r="V54" s="138"/>
      <c r="W54" s="138"/>
      <c r="X54" s="138"/>
      <c r="Y54" s="138"/>
      <c r="Z54" s="138"/>
      <c r="AA54" s="138"/>
      <c r="AB54" s="138"/>
    </row>
    <row r="55" spans="1:28" ht="14.25" customHeight="1">
      <c r="A55" s="1010" t="s">
        <v>3637</v>
      </c>
      <c r="B55" s="1010" t="s">
        <v>268</v>
      </c>
      <c r="C55" s="1010" t="s">
        <v>267</v>
      </c>
      <c r="D55" s="1010" t="s">
        <v>279</v>
      </c>
      <c r="E55" s="1012">
        <v>32388.2</v>
      </c>
      <c r="F55" s="1008"/>
      <c r="G55" s="1010" t="s">
        <v>3638</v>
      </c>
      <c r="H55" s="1014">
        <v>32</v>
      </c>
      <c r="I55" s="968"/>
      <c r="J55" s="968"/>
      <c r="K55" s="968"/>
      <c r="L55" s="138"/>
      <c r="M55" s="138"/>
      <c r="N55" s="138"/>
      <c r="O55" s="138"/>
      <c r="P55" s="138"/>
      <c r="Q55" s="138"/>
      <c r="R55" s="138"/>
      <c r="S55" s="138"/>
      <c r="T55" s="138"/>
      <c r="U55" s="138"/>
      <c r="V55" s="138"/>
      <c r="W55" s="138"/>
      <c r="X55" s="138"/>
      <c r="Y55" s="138"/>
      <c r="Z55" s="138"/>
      <c r="AA55" s="138"/>
      <c r="AB55" s="138"/>
    </row>
    <row r="56" spans="1:28" ht="14.25" customHeight="1">
      <c r="A56" s="1010" t="s">
        <v>3641</v>
      </c>
      <c r="B56" s="1010" t="s">
        <v>278</v>
      </c>
      <c r="C56" s="1010" t="s">
        <v>267</v>
      </c>
      <c r="D56" s="1010" t="s">
        <v>3642</v>
      </c>
      <c r="E56" s="1012">
        <v>23491.599999999999</v>
      </c>
      <c r="F56" s="1008"/>
      <c r="G56" s="1010" t="s">
        <v>3643</v>
      </c>
      <c r="H56" s="1014">
        <v>32</v>
      </c>
      <c r="I56" s="968"/>
      <c r="J56" s="968"/>
      <c r="K56" s="968"/>
      <c r="L56" s="138"/>
      <c r="M56" s="138"/>
      <c r="N56" s="138"/>
      <c r="O56" s="138"/>
      <c r="P56" s="138"/>
      <c r="Q56" s="138"/>
      <c r="R56" s="138"/>
      <c r="S56" s="138"/>
      <c r="T56" s="138"/>
      <c r="U56" s="138"/>
      <c r="V56" s="138"/>
      <c r="W56" s="138"/>
      <c r="X56" s="138"/>
      <c r="Y56" s="138"/>
      <c r="Z56" s="138"/>
      <c r="AA56" s="138"/>
      <c r="AB56" s="138"/>
    </row>
    <row r="57" spans="1:28" ht="14.25" customHeight="1">
      <c r="A57" s="1010" t="s">
        <v>3644</v>
      </c>
      <c r="B57" s="1010" t="s">
        <v>268</v>
      </c>
      <c r="C57" s="1010" t="s">
        <v>267</v>
      </c>
      <c r="D57" s="1010" t="s">
        <v>260</v>
      </c>
      <c r="E57" s="1012">
        <v>29343.25</v>
      </c>
      <c r="F57" s="1008"/>
      <c r="G57" s="1010" t="s">
        <v>3645</v>
      </c>
      <c r="H57" s="1014">
        <v>31</v>
      </c>
      <c r="I57" s="968"/>
      <c r="J57" s="968"/>
      <c r="K57" s="968"/>
      <c r="L57" s="138"/>
      <c r="M57" s="138"/>
      <c r="N57" s="138"/>
      <c r="O57" s="138"/>
      <c r="P57" s="138"/>
      <c r="Q57" s="138"/>
      <c r="R57" s="138"/>
      <c r="S57" s="138"/>
      <c r="T57" s="138"/>
      <c r="U57" s="138"/>
      <c r="V57" s="138"/>
      <c r="W57" s="138"/>
      <c r="X57" s="138"/>
      <c r="Y57" s="138"/>
      <c r="Z57" s="138"/>
      <c r="AA57" s="138"/>
      <c r="AB57" s="138"/>
    </row>
    <row r="58" spans="1:28" ht="14.25" customHeight="1">
      <c r="A58" s="1010" t="s">
        <v>3646</v>
      </c>
      <c r="B58" s="1010" t="s">
        <v>278</v>
      </c>
      <c r="C58" s="1010" t="s">
        <v>267</v>
      </c>
      <c r="D58" s="1010" t="s">
        <v>260</v>
      </c>
      <c r="E58" s="1012">
        <v>29950</v>
      </c>
      <c r="F58" s="1008"/>
      <c r="G58" s="1010" t="s">
        <v>3647</v>
      </c>
      <c r="H58" s="1014">
        <v>31</v>
      </c>
      <c r="I58" s="968"/>
      <c r="J58" s="968"/>
      <c r="K58" s="968"/>
      <c r="L58" s="138"/>
      <c r="M58" s="138"/>
      <c r="N58" s="138"/>
      <c r="O58" s="138"/>
      <c r="P58" s="138"/>
      <c r="Q58" s="138"/>
      <c r="R58" s="138"/>
      <c r="S58" s="138"/>
      <c r="T58" s="138"/>
      <c r="U58" s="138"/>
      <c r="V58" s="138"/>
      <c r="W58" s="138"/>
      <c r="X58" s="138"/>
      <c r="Y58" s="138"/>
      <c r="Z58" s="138"/>
      <c r="AA58" s="138"/>
      <c r="AB58" s="138"/>
    </row>
    <row r="59" spans="1:28" ht="14.25" customHeight="1">
      <c r="A59" s="1010" t="s">
        <v>3648</v>
      </c>
      <c r="B59" s="1010" t="s">
        <v>275</v>
      </c>
      <c r="C59" s="1010" t="s">
        <v>267</v>
      </c>
      <c r="D59" s="1010" t="s">
        <v>260</v>
      </c>
      <c r="E59" s="1012">
        <v>21448.99</v>
      </c>
      <c r="F59" s="1012">
        <v>-18000</v>
      </c>
      <c r="G59" s="1010" t="s">
        <v>3649</v>
      </c>
      <c r="H59" s="1014">
        <v>31</v>
      </c>
      <c r="I59" s="968"/>
      <c r="J59" s="968"/>
      <c r="K59" s="968"/>
      <c r="L59" s="138"/>
      <c r="M59" s="138"/>
      <c r="N59" s="138"/>
      <c r="O59" s="138"/>
      <c r="P59" s="138"/>
      <c r="Q59" s="138"/>
      <c r="R59" s="138"/>
      <c r="S59" s="138"/>
      <c r="T59" s="138"/>
      <c r="U59" s="138"/>
      <c r="V59" s="138"/>
      <c r="W59" s="138"/>
      <c r="X59" s="138"/>
      <c r="Y59" s="138"/>
      <c r="Z59" s="138"/>
      <c r="AA59" s="138"/>
      <c r="AB59" s="138"/>
    </row>
    <row r="60" spans="1:28" ht="14.25" customHeight="1">
      <c r="A60" s="1010" t="s">
        <v>3650</v>
      </c>
      <c r="B60" s="1010" t="s">
        <v>275</v>
      </c>
      <c r="C60" s="1010" t="s">
        <v>267</v>
      </c>
      <c r="D60" s="1010" t="s">
        <v>3539</v>
      </c>
      <c r="E60" s="1012">
        <v>23680.2</v>
      </c>
      <c r="F60" s="1008"/>
      <c r="G60" s="1010" t="s">
        <v>3651</v>
      </c>
      <c r="H60" s="1014">
        <v>31</v>
      </c>
      <c r="I60" s="968"/>
      <c r="J60" s="968"/>
      <c r="K60" s="968"/>
      <c r="L60" s="138"/>
      <c r="M60" s="138"/>
      <c r="N60" s="138"/>
      <c r="O60" s="138"/>
      <c r="P60" s="138"/>
      <c r="Q60" s="138"/>
      <c r="R60" s="138"/>
      <c r="S60" s="138"/>
      <c r="T60" s="138"/>
      <c r="U60" s="138"/>
      <c r="V60" s="138"/>
      <c r="W60" s="138"/>
      <c r="X60" s="138"/>
      <c r="Y60" s="138"/>
      <c r="Z60" s="138"/>
      <c r="AA60" s="138"/>
      <c r="AB60" s="138"/>
    </row>
    <row r="61" spans="1:28" ht="14.25" customHeight="1">
      <c r="A61" s="1010" t="s">
        <v>3652</v>
      </c>
      <c r="B61" s="1010" t="s">
        <v>275</v>
      </c>
      <c r="C61" s="1010" t="s">
        <v>267</v>
      </c>
      <c r="D61" s="1010" t="s">
        <v>273</v>
      </c>
      <c r="E61" s="1012">
        <v>19433.849999999999</v>
      </c>
      <c r="F61" s="1008"/>
      <c r="G61" s="1010" t="s">
        <v>3653</v>
      </c>
      <c r="H61" s="1014">
        <v>31</v>
      </c>
      <c r="I61" s="968"/>
      <c r="J61" s="968"/>
      <c r="K61" s="968"/>
      <c r="L61" s="138"/>
      <c r="M61" s="138"/>
      <c r="N61" s="138"/>
      <c r="O61" s="138"/>
      <c r="P61" s="138"/>
      <c r="Q61" s="138"/>
      <c r="R61" s="138"/>
      <c r="S61" s="138"/>
      <c r="T61" s="138"/>
      <c r="U61" s="138"/>
      <c r="V61" s="138"/>
      <c r="W61" s="138"/>
      <c r="X61" s="138"/>
      <c r="Y61" s="138"/>
      <c r="Z61" s="138"/>
      <c r="AA61" s="138"/>
      <c r="AB61" s="138"/>
    </row>
    <row r="62" spans="1:28" ht="14.25" customHeight="1">
      <c r="A62" s="1010" t="s">
        <v>3654</v>
      </c>
      <c r="B62" s="1010" t="s">
        <v>275</v>
      </c>
      <c r="C62" s="1010" t="s">
        <v>3433</v>
      </c>
      <c r="D62" s="1010" t="s">
        <v>3527</v>
      </c>
      <c r="E62" s="1012">
        <v>17516.849999999999</v>
      </c>
      <c r="F62" s="1008"/>
      <c r="G62" s="1010" t="s">
        <v>3655</v>
      </c>
      <c r="H62" s="1014">
        <v>31</v>
      </c>
      <c r="I62" s="968"/>
      <c r="J62" s="968"/>
      <c r="K62" s="968"/>
      <c r="L62" s="138"/>
      <c r="M62" s="138"/>
      <c r="N62" s="138"/>
      <c r="O62" s="138"/>
      <c r="P62" s="138"/>
      <c r="Q62" s="138"/>
      <c r="R62" s="138"/>
      <c r="S62" s="138"/>
      <c r="T62" s="138"/>
      <c r="U62" s="138"/>
      <c r="V62" s="138"/>
      <c r="W62" s="138"/>
      <c r="X62" s="138"/>
      <c r="Y62" s="138"/>
      <c r="Z62" s="138"/>
      <c r="AA62" s="138"/>
      <c r="AB62" s="138"/>
    </row>
    <row r="63" spans="1:28" ht="14.25" customHeight="1">
      <c r="A63" s="1010" t="s">
        <v>3635</v>
      </c>
      <c r="B63" s="1010" t="s">
        <v>268</v>
      </c>
      <c r="C63" s="1010" t="s">
        <v>267</v>
      </c>
      <c r="D63" s="1010" t="s">
        <v>260</v>
      </c>
      <c r="E63" s="1012">
        <v>28418.09</v>
      </c>
      <c r="F63" s="1008"/>
      <c r="G63" s="1010" t="s">
        <v>3636</v>
      </c>
      <c r="H63" s="1014">
        <v>30</v>
      </c>
      <c r="I63" s="968"/>
      <c r="J63" s="968"/>
      <c r="K63" s="968"/>
      <c r="L63" s="138"/>
      <c r="M63" s="138"/>
      <c r="N63" s="138"/>
      <c r="O63" s="138"/>
      <c r="P63" s="138"/>
      <c r="Q63" s="138"/>
      <c r="R63" s="138"/>
      <c r="S63" s="138"/>
      <c r="T63" s="138"/>
      <c r="U63" s="138"/>
      <c r="V63" s="138"/>
      <c r="W63" s="138"/>
      <c r="X63" s="138"/>
      <c r="Y63" s="138"/>
      <c r="Z63" s="138"/>
      <c r="AA63" s="138"/>
      <c r="AB63" s="138"/>
    </row>
    <row r="64" spans="1:28" ht="14.25" customHeight="1">
      <c r="A64" s="1010" t="s">
        <v>3639</v>
      </c>
      <c r="B64" s="1010" t="s">
        <v>278</v>
      </c>
      <c r="C64" s="1010" t="s">
        <v>267</v>
      </c>
      <c r="D64" s="1010" t="s">
        <v>260</v>
      </c>
      <c r="E64" s="1012">
        <v>26650</v>
      </c>
      <c r="F64" s="1008"/>
      <c r="G64" s="1010" t="s">
        <v>3640</v>
      </c>
      <c r="H64" s="1014">
        <v>30</v>
      </c>
      <c r="I64" s="968"/>
      <c r="J64" s="968"/>
      <c r="K64" s="968"/>
      <c r="L64" s="138"/>
      <c r="M64" s="138"/>
      <c r="N64" s="138"/>
      <c r="O64" s="138"/>
      <c r="P64" s="138"/>
      <c r="Q64" s="138"/>
      <c r="R64" s="138"/>
      <c r="S64" s="138"/>
      <c r="T64" s="138"/>
      <c r="U64" s="138"/>
      <c r="V64" s="138"/>
      <c r="W64" s="138"/>
      <c r="X64" s="138"/>
      <c r="Y64" s="138"/>
      <c r="Z64" s="138"/>
      <c r="AA64" s="138"/>
      <c r="AB64" s="138"/>
    </row>
    <row r="65" spans="1:28" ht="14.25" customHeight="1">
      <c r="A65" s="1010" t="s">
        <v>3755</v>
      </c>
      <c r="B65" s="1010" t="s">
        <v>275</v>
      </c>
      <c r="C65" s="1010" t="s">
        <v>267</v>
      </c>
      <c r="D65" s="1010" t="s">
        <v>260</v>
      </c>
      <c r="E65" s="1012">
        <v>22943.200000000001</v>
      </c>
      <c r="F65" s="1012">
        <v>-14910</v>
      </c>
      <c r="G65" s="1010" t="s">
        <v>3756</v>
      </c>
      <c r="H65" s="1014">
        <v>27</v>
      </c>
      <c r="I65" s="968"/>
      <c r="J65" s="968"/>
      <c r="K65" s="968"/>
      <c r="L65" s="138"/>
      <c r="M65" s="138"/>
      <c r="N65" s="138"/>
      <c r="O65" s="138"/>
      <c r="P65" s="138"/>
      <c r="Q65" s="138"/>
      <c r="R65" s="138"/>
      <c r="S65" s="138"/>
      <c r="T65" s="138"/>
      <c r="U65" s="138"/>
      <c r="V65" s="138"/>
      <c r="W65" s="138"/>
      <c r="X65" s="138"/>
      <c r="Y65" s="138"/>
      <c r="Z65" s="138"/>
      <c r="AA65" s="138"/>
      <c r="AB65" s="138"/>
    </row>
    <row r="66" spans="1:28" ht="14.25" customHeight="1">
      <c r="A66" s="1010" t="s">
        <v>3757</v>
      </c>
      <c r="B66" s="1010" t="s">
        <v>3438</v>
      </c>
      <c r="C66" s="1010" t="s">
        <v>267</v>
      </c>
      <c r="D66" s="1010" t="s">
        <v>3572</v>
      </c>
      <c r="E66" s="1012">
        <v>56282.9</v>
      </c>
      <c r="F66" s="1012">
        <v>-53444.44</v>
      </c>
      <c r="G66" s="1010" t="s">
        <v>3758</v>
      </c>
      <c r="H66" s="1014">
        <v>26</v>
      </c>
      <c r="I66" s="968"/>
      <c r="J66" s="968"/>
      <c r="K66" s="968"/>
      <c r="L66" s="138"/>
      <c r="M66" s="138"/>
      <c r="N66" s="138"/>
      <c r="O66" s="138"/>
      <c r="P66" s="138"/>
      <c r="Q66" s="138"/>
      <c r="R66" s="138"/>
      <c r="S66" s="138"/>
      <c r="T66" s="138"/>
      <c r="U66" s="138"/>
      <c r="V66" s="138"/>
      <c r="W66" s="138"/>
      <c r="X66" s="138"/>
      <c r="Y66" s="138"/>
      <c r="Z66" s="138"/>
      <c r="AA66" s="138"/>
      <c r="AB66" s="138"/>
    </row>
    <row r="67" spans="1:28" ht="14.25" customHeight="1">
      <c r="A67" s="1010" t="s">
        <v>3759</v>
      </c>
      <c r="B67" s="1010" t="s">
        <v>264</v>
      </c>
      <c r="C67" s="1010" t="s">
        <v>267</v>
      </c>
      <c r="D67" s="1010" t="s">
        <v>260</v>
      </c>
      <c r="E67" s="1012">
        <v>37343.25</v>
      </c>
      <c r="F67" s="1012">
        <v>-31500</v>
      </c>
      <c r="G67" s="1010" t="s">
        <v>3760</v>
      </c>
      <c r="H67" s="1014">
        <v>26</v>
      </c>
      <c r="I67" s="968"/>
      <c r="J67" s="968"/>
      <c r="K67" s="968"/>
      <c r="L67" s="138"/>
      <c r="M67" s="138"/>
      <c r="N67" s="138"/>
      <c r="O67" s="138"/>
      <c r="P67" s="138"/>
      <c r="Q67" s="138"/>
      <c r="R67" s="138"/>
      <c r="S67" s="138"/>
      <c r="T67" s="138"/>
      <c r="U67" s="138"/>
      <c r="V67" s="138"/>
      <c r="W67" s="138"/>
      <c r="X67" s="138"/>
      <c r="Y67" s="138"/>
      <c r="Z67" s="138"/>
      <c r="AA67" s="138"/>
      <c r="AB67" s="138"/>
    </row>
    <row r="68" spans="1:28" ht="14.25" customHeight="1">
      <c r="A68" s="1010" t="s">
        <v>3761</v>
      </c>
      <c r="B68" s="1010" t="s">
        <v>268</v>
      </c>
      <c r="C68" s="1010" t="s">
        <v>267</v>
      </c>
      <c r="D68" s="1010" t="s">
        <v>260</v>
      </c>
      <c r="E68" s="1012">
        <v>27555.439999999999</v>
      </c>
      <c r="F68" s="1012">
        <v>-26142.19</v>
      </c>
      <c r="G68" s="1010" t="s">
        <v>3762</v>
      </c>
      <c r="H68" s="1014">
        <v>26</v>
      </c>
      <c r="I68" s="968"/>
      <c r="J68" s="968"/>
      <c r="K68" s="968"/>
      <c r="L68" s="138"/>
      <c r="M68" s="138"/>
      <c r="N68" s="138"/>
      <c r="O68" s="138"/>
      <c r="P68" s="138"/>
      <c r="Q68" s="138"/>
      <c r="R68" s="138"/>
      <c r="S68" s="138"/>
      <c r="T68" s="138"/>
      <c r="U68" s="138"/>
      <c r="V68" s="138"/>
      <c r="W68" s="138"/>
      <c r="X68" s="138"/>
      <c r="Y68" s="138"/>
      <c r="Z68" s="138"/>
      <c r="AA68" s="138"/>
      <c r="AB68" s="138"/>
    </row>
    <row r="69" spans="1:28" ht="14.25" customHeight="1">
      <c r="A69" s="1010" t="s">
        <v>3627</v>
      </c>
      <c r="B69" s="1010" t="s">
        <v>275</v>
      </c>
      <c r="C69" s="1010" t="s">
        <v>267</v>
      </c>
      <c r="D69" s="1010" t="s">
        <v>277</v>
      </c>
      <c r="E69" s="1012">
        <v>15050</v>
      </c>
      <c r="F69" s="1008"/>
      <c r="G69" s="1010" t="s">
        <v>3628</v>
      </c>
      <c r="H69" s="1014">
        <v>26</v>
      </c>
      <c r="I69" s="968"/>
      <c r="J69" s="968"/>
      <c r="K69" s="968"/>
      <c r="L69" s="138"/>
      <c r="M69" s="138"/>
      <c r="N69" s="138"/>
      <c r="O69" s="138"/>
      <c r="P69" s="138"/>
      <c r="Q69" s="138"/>
      <c r="R69" s="138"/>
      <c r="S69" s="138"/>
      <c r="T69" s="138"/>
      <c r="U69" s="138"/>
      <c r="V69" s="138"/>
      <c r="W69" s="138"/>
      <c r="X69" s="138"/>
      <c r="Y69" s="138"/>
      <c r="Z69" s="138"/>
      <c r="AA69" s="138"/>
      <c r="AB69" s="138"/>
    </row>
    <row r="70" spans="1:28" ht="14.25" customHeight="1">
      <c r="A70" s="1010" t="s">
        <v>3763</v>
      </c>
      <c r="B70" s="1010" t="s">
        <v>278</v>
      </c>
      <c r="C70" s="1010" t="s">
        <v>267</v>
      </c>
      <c r="D70" s="1010" t="s">
        <v>282</v>
      </c>
      <c r="E70" s="1012">
        <v>24148.3</v>
      </c>
      <c r="F70" s="1012">
        <v>-13011</v>
      </c>
      <c r="G70" s="1010" t="s">
        <v>3764</v>
      </c>
      <c r="H70" s="1014">
        <v>25</v>
      </c>
      <c r="I70" s="968"/>
      <c r="J70" s="968"/>
      <c r="K70" s="968"/>
      <c r="L70" s="138"/>
      <c r="M70" s="138"/>
      <c r="N70" s="138"/>
      <c r="O70" s="138"/>
      <c r="P70" s="138"/>
      <c r="Q70" s="138"/>
      <c r="R70" s="138"/>
      <c r="S70" s="138"/>
      <c r="T70" s="138"/>
      <c r="U70" s="138"/>
      <c r="V70" s="138"/>
      <c r="W70" s="138"/>
      <c r="X70" s="138"/>
      <c r="Y70" s="138"/>
      <c r="Z70" s="138"/>
      <c r="AA70" s="138"/>
      <c r="AB70" s="138"/>
    </row>
    <row r="71" spans="1:28" ht="14.25" customHeight="1">
      <c r="A71" s="1010" t="s">
        <v>3765</v>
      </c>
      <c r="B71" s="1010" t="s">
        <v>280</v>
      </c>
      <c r="C71" s="1010" t="s">
        <v>267</v>
      </c>
      <c r="D71" s="1010" t="s">
        <v>260</v>
      </c>
      <c r="E71" s="1012">
        <v>17323.25</v>
      </c>
      <c r="F71" s="1012">
        <v>-14400</v>
      </c>
      <c r="G71" s="1010" t="s">
        <v>3766</v>
      </c>
      <c r="H71" s="1014">
        <v>25</v>
      </c>
      <c r="I71" s="968"/>
      <c r="J71" s="968"/>
      <c r="K71" s="968"/>
      <c r="L71" s="138"/>
      <c r="M71" s="138"/>
      <c r="N71" s="138"/>
      <c r="O71" s="138"/>
      <c r="P71" s="138"/>
      <c r="Q71" s="138"/>
      <c r="R71" s="138"/>
      <c r="S71" s="138"/>
      <c r="T71" s="138"/>
      <c r="U71" s="138"/>
      <c r="V71" s="138"/>
      <c r="W71" s="138"/>
      <c r="X71" s="138"/>
      <c r="Y71" s="138"/>
      <c r="Z71" s="138"/>
      <c r="AA71" s="138"/>
      <c r="AB71" s="138"/>
    </row>
    <row r="72" spans="1:28" ht="14.25" customHeight="1">
      <c r="A72" s="1010" t="s">
        <v>3767</v>
      </c>
      <c r="B72" s="1010" t="s">
        <v>278</v>
      </c>
      <c r="C72" s="1010" t="s">
        <v>267</v>
      </c>
      <c r="D72" s="1010" t="s">
        <v>260</v>
      </c>
      <c r="E72" s="1012">
        <v>24729.89</v>
      </c>
      <c r="F72" s="1012">
        <v>-21121.07</v>
      </c>
      <c r="G72" s="1010" t="s">
        <v>3768</v>
      </c>
      <c r="H72" s="1014">
        <v>24</v>
      </c>
      <c r="I72" s="968"/>
      <c r="J72" s="968"/>
      <c r="K72" s="968"/>
      <c r="L72" s="138"/>
      <c r="M72" s="138"/>
      <c r="N72" s="138"/>
      <c r="O72" s="138"/>
      <c r="P72" s="138"/>
      <c r="Q72" s="138"/>
      <c r="R72" s="138"/>
      <c r="S72" s="138"/>
      <c r="T72" s="138"/>
      <c r="U72" s="138"/>
      <c r="V72" s="138"/>
      <c r="W72" s="138"/>
      <c r="X72" s="138"/>
      <c r="Y72" s="138"/>
      <c r="Z72" s="138"/>
      <c r="AA72" s="138"/>
      <c r="AB72" s="138"/>
    </row>
    <row r="73" spans="1:28" ht="14.25" customHeight="1">
      <c r="A73" s="1010" t="s">
        <v>3769</v>
      </c>
      <c r="B73" s="1010" t="s">
        <v>264</v>
      </c>
      <c r="C73" s="1010" t="s">
        <v>3634</v>
      </c>
      <c r="D73" s="1010" t="s">
        <v>3770</v>
      </c>
      <c r="E73" s="1012">
        <v>39801.279999999999</v>
      </c>
      <c r="F73" s="1008"/>
      <c r="G73" s="1010" t="s">
        <v>3771</v>
      </c>
      <c r="H73" s="1014">
        <v>17</v>
      </c>
      <c r="I73" s="968"/>
      <c r="J73" s="968"/>
      <c r="K73" s="968"/>
      <c r="L73" s="138"/>
      <c r="M73" s="138"/>
      <c r="N73" s="138"/>
      <c r="O73" s="138"/>
      <c r="P73" s="138"/>
      <c r="Q73" s="138"/>
      <c r="R73" s="138"/>
      <c r="S73" s="138"/>
      <c r="T73" s="138"/>
      <c r="U73" s="138"/>
      <c r="V73" s="138"/>
      <c r="W73" s="138"/>
      <c r="X73" s="138"/>
      <c r="Y73" s="138"/>
      <c r="Z73" s="138"/>
      <c r="AA73" s="138"/>
      <c r="AB73" s="138"/>
    </row>
    <row r="74" spans="1:28" ht="14.25" customHeight="1">
      <c r="A74" s="1010" t="s">
        <v>3772</v>
      </c>
      <c r="B74" s="1010" t="s">
        <v>278</v>
      </c>
      <c r="C74" s="1010" t="s">
        <v>267</v>
      </c>
      <c r="D74" s="1010" t="s">
        <v>260</v>
      </c>
      <c r="E74" s="1012">
        <v>27897</v>
      </c>
      <c r="F74" s="1012">
        <v>-21259.15</v>
      </c>
      <c r="G74" s="1010" t="s">
        <v>3773</v>
      </c>
      <c r="H74" s="1014">
        <v>17</v>
      </c>
      <c r="I74" s="968"/>
      <c r="J74" s="968"/>
      <c r="K74" s="968"/>
      <c r="L74" s="138"/>
      <c r="M74" s="138"/>
      <c r="N74" s="138"/>
      <c r="O74" s="138"/>
      <c r="P74" s="138"/>
      <c r="Q74" s="138"/>
      <c r="R74" s="138"/>
      <c r="S74" s="138"/>
      <c r="T74" s="138"/>
      <c r="U74" s="138"/>
      <c r="V74" s="138"/>
      <c r="W74" s="138"/>
      <c r="X74" s="138"/>
      <c r="Y74" s="138"/>
      <c r="Z74" s="138"/>
      <c r="AA74" s="138"/>
      <c r="AB74" s="138"/>
    </row>
    <row r="75" spans="1:28" ht="14.25" customHeight="1">
      <c r="A75" s="1010" t="s">
        <v>3774</v>
      </c>
      <c r="B75" s="1010" t="s">
        <v>268</v>
      </c>
      <c r="C75" s="1010" t="s">
        <v>267</v>
      </c>
      <c r="D75" s="1010" t="s">
        <v>260</v>
      </c>
      <c r="E75" s="1012">
        <v>29849.7</v>
      </c>
      <c r="F75" s="1012">
        <v>-25650</v>
      </c>
      <c r="G75" s="1010" t="s">
        <v>3775</v>
      </c>
      <c r="H75" s="1014">
        <v>16</v>
      </c>
      <c r="I75" s="968"/>
      <c r="J75" s="968"/>
      <c r="K75" s="968"/>
      <c r="L75" s="138"/>
      <c r="M75" s="138"/>
      <c r="N75" s="138"/>
      <c r="O75" s="138"/>
      <c r="P75" s="138"/>
      <c r="Q75" s="138"/>
      <c r="R75" s="138"/>
      <c r="S75" s="138"/>
      <c r="T75" s="138"/>
      <c r="U75" s="138"/>
      <c r="V75" s="138"/>
      <c r="W75" s="138"/>
      <c r="X75" s="138"/>
      <c r="Y75" s="138"/>
      <c r="Z75" s="138"/>
      <c r="AA75" s="138"/>
      <c r="AB75" s="138"/>
    </row>
    <row r="76" spans="1:28" ht="14.25" customHeight="1">
      <c r="A76" s="1010" t="s">
        <v>3776</v>
      </c>
      <c r="B76" s="1010" t="s">
        <v>268</v>
      </c>
      <c r="C76" s="1010" t="s">
        <v>267</v>
      </c>
      <c r="D76" s="1010" t="s">
        <v>277</v>
      </c>
      <c r="E76" s="1012">
        <v>22734.85</v>
      </c>
      <c r="F76" s="1008"/>
      <c r="G76" s="1010" t="s">
        <v>3777</v>
      </c>
      <c r="H76" s="1014">
        <v>16</v>
      </c>
      <c r="I76" s="968"/>
      <c r="J76" s="968"/>
      <c r="K76" s="968"/>
      <c r="L76" s="138"/>
      <c r="M76" s="138"/>
      <c r="N76" s="138"/>
      <c r="O76" s="138"/>
      <c r="P76" s="138"/>
      <c r="Q76" s="138"/>
      <c r="R76" s="138"/>
      <c r="S76" s="138"/>
      <c r="T76" s="138"/>
      <c r="U76" s="138"/>
      <c r="V76" s="138"/>
      <c r="W76" s="138"/>
      <c r="X76" s="138"/>
      <c r="Y76" s="138"/>
      <c r="Z76" s="138"/>
      <c r="AA76" s="138"/>
      <c r="AB76" s="138"/>
    </row>
    <row r="77" spans="1:28" ht="14.25" customHeight="1">
      <c r="A77" s="1010" t="s">
        <v>3778</v>
      </c>
      <c r="B77" s="1010" t="s">
        <v>278</v>
      </c>
      <c r="C77" s="1010" t="s">
        <v>267</v>
      </c>
      <c r="D77" s="1010" t="s">
        <v>260</v>
      </c>
      <c r="E77" s="1012">
        <v>23937.85</v>
      </c>
      <c r="F77" s="1008"/>
      <c r="G77" s="1010" t="s">
        <v>3779</v>
      </c>
      <c r="H77" s="1014">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10" t="s">
        <v>3780</v>
      </c>
      <c r="B78" s="1010" t="s">
        <v>278</v>
      </c>
      <c r="C78" s="1010" t="s">
        <v>3781</v>
      </c>
      <c r="D78" s="1010" t="s">
        <v>3782</v>
      </c>
      <c r="E78" s="1012">
        <v>37860.379999999997</v>
      </c>
      <c r="F78" s="1008"/>
      <c r="G78" s="1010" t="s">
        <v>3783</v>
      </c>
      <c r="H78" s="1014">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10" t="s">
        <v>3784</v>
      </c>
      <c r="B79" s="1010" t="s">
        <v>275</v>
      </c>
      <c r="C79" s="1010" t="s">
        <v>267</v>
      </c>
      <c r="D79" s="1010" t="s">
        <v>273</v>
      </c>
      <c r="E79" s="1012">
        <v>17250</v>
      </c>
      <c r="F79" s="1012">
        <v>-10994</v>
      </c>
      <c r="G79" s="1010" t="s">
        <v>3785</v>
      </c>
      <c r="H79" s="1014">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10" t="s">
        <v>3786</v>
      </c>
      <c r="B80" s="1010" t="s">
        <v>3339</v>
      </c>
      <c r="C80" s="1010" t="s">
        <v>267</v>
      </c>
      <c r="D80" s="1010" t="s">
        <v>265</v>
      </c>
      <c r="E80" s="1012">
        <v>9050</v>
      </c>
      <c r="F80" s="1008"/>
      <c r="G80" s="1010" t="s">
        <v>3787</v>
      </c>
      <c r="H80" s="1014">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10" t="s">
        <v>3788</v>
      </c>
      <c r="B81" s="1010" t="s">
        <v>3548</v>
      </c>
      <c r="C81" s="1010" t="s">
        <v>3433</v>
      </c>
      <c r="D81" s="1010" t="s">
        <v>3789</v>
      </c>
      <c r="E81" s="1012">
        <v>10550</v>
      </c>
      <c r="F81" s="1008"/>
      <c r="G81" s="1010" t="s">
        <v>3790</v>
      </c>
      <c r="H81" s="1014">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10" t="s">
        <v>3791</v>
      </c>
      <c r="B82" s="1010" t="s">
        <v>259</v>
      </c>
      <c r="C82" s="1010" t="s">
        <v>267</v>
      </c>
      <c r="D82" s="1010" t="s">
        <v>3572</v>
      </c>
      <c r="E82" s="1012">
        <v>48197.8</v>
      </c>
      <c r="F82" s="1012">
        <v>-42300</v>
      </c>
      <c r="G82" s="1010" t="s">
        <v>3792</v>
      </c>
      <c r="H82" s="1014">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10" t="s">
        <v>3793</v>
      </c>
      <c r="B83" s="1010" t="s">
        <v>275</v>
      </c>
      <c r="C83" s="1010" t="s">
        <v>267</v>
      </c>
      <c r="D83" s="1010" t="s">
        <v>277</v>
      </c>
      <c r="E83" s="1012">
        <v>21402.85</v>
      </c>
      <c r="F83" s="1008"/>
      <c r="G83" s="1010" t="s">
        <v>3794</v>
      </c>
      <c r="H83" s="1014">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10" t="s">
        <v>3795</v>
      </c>
      <c r="B84" s="1010" t="s">
        <v>275</v>
      </c>
      <c r="C84" s="1010" t="s">
        <v>267</v>
      </c>
      <c r="D84" s="1010" t="s">
        <v>273</v>
      </c>
      <c r="E84" s="1012">
        <v>18179.95</v>
      </c>
      <c r="F84" s="1008"/>
      <c r="G84" s="1010" t="s">
        <v>3796</v>
      </c>
      <c r="H84" s="1014">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10" t="s">
        <v>3797</v>
      </c>
      <c r="B85" s="1010" t="s">
        <v>3471</v>
      </c>
      <c r="C85" s="1010" t="s">
        <v>3798</v>
      </c>
      <c r="D85" s="1010" t="s">
        <v>3799</v>
      </c>
      <c r="E85" s="1012">
        <v>22550</v>
      </c>
      <c r="F85" s="1008"/>
      <c r="G85" s="1010" t="s">
        <v>3800</v>
      </c>
      <c r="H85" s="1014">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10" t="s">
        <v>3801</v>
      </c>
      <c r="B86" s="1010" t="s">
        <v>3442</v>
      </c>
      <c r="C86" s="1010" t="s">
        <v>3431</v>
      </c>
      <c r="D86" s="1010" t="s">
        <v>3802</v>
      </c>
      <c r="E86" s="1012">
        <v>5450</v>
      </c>
      <c r="F86" s="1008"/>
      <c r="G86" s="1010" t="s">
        <v>3803</v>
      </c>
      <c r="H86" s="1014">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10" t="s">
        <v>3804</v>
      </c>
      <c r="B87" s="1010" t="s">
        <v>275</v>
      </c>
      <c r="C87" s="1010" t="s">
        <v>267</v>
      </c>
      <c r="D87" s="1010" t="s">
        <v>260</v>
      </c>
      <c r="E87" s="1012">
        <v>20650</v>
      </c>
      <c r="F87" s="1008"/>
      <c r="G87" s="1010" t="s">
        <v>3805</v>
      </c>
      <c r="H87" s="1014">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10" t="s">
        <v>3806</v>
      </c>
      <c r="B88" s="1010" t="s">
        <v>3339</v>
      </c>
      <c r="C88" s="1010" t="s">
        <v>267</v>
      </c>
      <c r="D88" s="1010" t="s">
        <v>260</v>
      </c>
      <c r="E88" s="1012">
        <v>8550</v>
      </c>
      <c r="F88" s="1008"/>
      <c r="G88" s="1010" t="s">
        <v>3807</v>
      </c>
      <c r="H88" s="1014">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10" t="s">
        <v>3808</v>
      </c>
      <c r="B89" s="1010" t="s">
        <v>278</v>
      </c>
      <c r="C89" s="1010" t="s">
        <v>267</v>
      </c>
      <c r="D89" s="1010" t="s">
        <v>260</v>
      </c>
      <c r="E89" s="1012">
        <v>25550</v>
      </c>
      <c r="F89" s="1008"/>
      <c r="G89" s="1010" t="s">
        <v>3809</v>
      </c>
      <c r="H89" s="1014">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10" t="s">
        <v>3810</v>
      </c>
      <c r="B90" s="1010" t="s">
        <v>278</v>
      </c>
      <c r="C90" s="1010" t="s">
        <v>3432</v>
      </c>
      <c r="D90" s="1010" t="s">
        <v>3811</v>
      </c>
      <c r="E90" s="1012">
        <v>28550</v>
      </c>
      <c r="F90" s="1008"/>
      <c r="G90" s="1010" t="s">
        <v>3812</v>
      </c>
      <c r="H90" s="1014">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10" t="s">
        <v>3813</v>
      </c>
      <c r="B91" s="1010" t="s">
        <v>275</v>
      </c>
      <c r="C91" s="1010" t="s">
        <v>267</v>
      </c>
      <c r="D91" s="1010" t="s">
        <v>273</v>
      </c>
      <c r="E91" s="1012">
        <v>17050</v>
      </c>
      <c r="F91" s="1008"/>
      <c r="G91" s="1010" t="s">
        <v>3814</v>
      </c>
      <c r="H91" s="1014">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10" t="s">
        <v>3815</v>
      </c>
      <c r="B92" s="1010" t="s">
        <v>259</v>
      </c>
      <c r="C92" s="1010" t="s">
        <v>267</v>
      </c>
      <c r="D92" s="1010" t="s">
        <v>260</v>
      </c>
      <c r="E92" s="1012">
        <v>31300</v>
      </c>
      <c r="F92" s="1008"/>
      <c r="G92" s="1010" t="s">
        <v>3816</v>
      </c>
      <c r="H92" s="1014">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10" t="s">
        <v>3817</v>
      </c>
      <c r="B93" s="1010" t="s">
        <v>264</v>
      </c>
      <c r="C93" s="1010" t="s">
        <v>267</v>
      </c>
      <c r="D93" s="1010" t="s">
        <v>262</v>
      </c>
      <c r="E93" s="1012">
        <v>47388.75</v>
      </c>
      <c r="F93" s="1008"/>
      <c r="G93" s="1010" t="s">
        <v>3818</v>
      </c>
      <c r="H93" s="1014">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10" t="s">
        <v>3819</v>
      </c>
      <c r="B94" s="1010" t="s">
        <v>268</v>
      </c>
      <c r="C94" s="1010" t="s">
        <v>267</v>
      </c>
      <c r="D94" s="1010" t="s">
        <v>277</v>
      </c>
      <c r="E94" s="1012">
        <v>24050</v>
      </c>
      <c r="F94" s="1008"/>
      <c r="G94" s="1010" t="s">
        <v>3820</v>
      </c>
      <c r="H94" s="1014">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10" t="s">
        <v>3821</v>
      </c>
      <c r="B95" s="1010" t="s">
        <v>278</v>
      </c>
      <c r="C95" s="1010" t="s">
        <v>267</v>
      </c>
      <c r="D95" s="1010" t="s">
        <v>260</v>
      </c>
      <c r="E95" s="1012">
        <v>29837.9</v>
      </c>
      <c r="F95" s="1008"/>
      <c r="G95" s="1010" t="s">
        <v>3822</v>
      </c>
      <c r="H95" s="1014">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10" t="s">
        <v>3823</v>
      </c>
      <c r="B96" s="1010" t="s">
        <v>278</v>
      </c>
      <c r="C96" s="1010" t="s">
        <v>267</v>
      </c>
      <c r="D96" s="1010" t="s">
        <v>277</v>
      </c>
      <c r="E96" s="1012">
        <v>18250</v>
      </c>
      <c r="F96" s="1008"/>
      <c r="G96" s="1010" t="s">
        <v>3824</v>
      </c>
      <c r="H96" s="1014">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10" t="s">
        <v>3825</v>
      </c>
      <c r="B97" s="1010" t="s">
        <v>268</v>
      </c>
      <c r="C97" s="1010" t="s">
        <v>267</v>
      </c>
      <c r="D97" s="1010" t="s">
        <v>260</v>
      </c>
      <c r="E97" s="1012">
        <v>24300</v>
      </c>
      <c r="F97" s="1008"/>
      <c r="G97" s="1010" t="s">
        <v>3826</v>
      </c>
      <c r="H97" s="1014">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10" t="s">
        <v>3827</v>
      </c>
      <c r="B98" s="1010" t="s">
        <v>278</v>
      </c>
      <c r="C98" s="1010" t="s">
        <v>267</v>
      </c>
      <c r="D98" s="1010" t="s">
        <v>277</v>
      </c>
      <c r="E98" s="1012">
        <v>16550</v>
      </c>
      <c r="F98" s="1008"/>
      <c r="G98" s="1010" t="s">
        <v>3828</v>
      </c>
      <c r="H98" s="1014">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10" t="s">
        <v>3829</v>
      </c>
      <c r="B99" s="1010" t="s">
        <v>278</v>
      </c>
      <c r="C99" s="1010" t="s">
        <v>3350</v>
      </c>
      <c r="D99" s="1010" t="s">
        <v>3830</v>
      </c>
      <c r="E99" s="1012">
        <v>53050</v>
      </c>
      <c r="F99" s="1008"/>
      <c r="G99" s="1010" t="s">
        <v>3831</v>
      </c>
      <c r="H99" s="1014">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10" t="s">
        <v>3832</v>
      </c>
      <c r="B100" s="1010" t="s">
        <v>280</v>
      </c>
      <c r="C100" s="1010" t="s">
        <v>3833</v>
      </c>
      <c r="D100" s="1010" t="s">
        <v>3834</v>
      </c>
      <c r="E100" s="1012">
        <v>10300</v>
      </c>
      <c r="F100" s="1008"/>
      <c r="G100" s="1010" t="s">
        <v>3835</v>
      </c>
      <c r="H100" s="1014">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10" t="s">
        <v>3836</v>
      </c>
      <c r="B101" s="1010" t="s">
        <v>3633</v>
      </c>
      <c r="C101" s="1010" t="s">
        <v>267</v>
      </c>
      <c r="D101" s="1010" t="s">
        <v>3642</v>
      </c>
      <c r="E101" s="1012">
        <v>2550</v>
      </c>
      <c r="F101" s="1008"/>
      <c r="G101" s="1010" t="s">
        <v>3837</v>
      </c>
      <c r="H101" s="1014">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10" t="s">
        <v>3838</v>
      </c>
      <c r="B102" s="1010" t="s">
        <v>3633</v>
      </c>
      <c r="C102" s="1010" t="s">
        <v>3464</v>
      </c>
      <c r="D102" s="1010" t="s">
        <v>3839</v>
      </c>
      <c r="E102" s="1012">
        <v>2300</v>
      </c>
      <c r="F102" s="1008"/>
      <c r="G102" s="1010" t="s">
        <v>3840</v>
      </c>
      <c r="H102" s="1014">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10" t="s">
        <v>3841</v>
      </c>
      <c r="B103" s="1010" t="s">
        <v>264</v>
      </c>
      <c r="C103" s="1010" t="s">
        <v>267</v>
      </c>
      <c r="D103" s="1010" t="s">
        <v>260</v>
      </c>
      <c r="E103" s="1012">
        <v>36050</v>
      </c>
      <c r="F103" s="1008"/>
      <c r="G103" s="1010" t="s">
        <v>3842</v>
      </c>
      <c r="H103" s="1014">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10" t="s">
        <v>3843</v>
      </c>
      <c r="B104" s="1010" t="s">
        <v>259</v>
      </c>
      <c r="C104" s="1010" t="s">
        <v>267</v>
      </c>
      <c r="D104" s="1010" t="s">
        <v>260</v>
      </c>
      <c r="E104" s="1012">
        <v>33550</v>
      </c>
      <c r="F104" s="1008"/>
      <c r="G104" s="1010" t="s">
        <v>3844</v>
      </c>
      <c r="H104" s="1014">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10" t="s">
        <v>3845</v>
      </c>
      <c r="B105" s="1010" t="s">
        <v>259</v>
      </c>
      <c r="C105" s="1010" t="s">
        <v>3542</v>
      </c>
      <c r="D105" s="1010" t="s">
        <v>3846</v>
      </c>
      <c r="E105" s="1012">
        <v>20750</v>
      </c>
      <c r="F105" s="1008"/>
      <c r="G105" s="1010" t="s">
        <v>3847</v>
      </c>
      <c r="H105" s="1014">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10" t="s">
        <v>3848</v>
      </c>
      <c r="B106" s="1010" t="s">
        <v>268</v>
      </c>
      <c r="C106" s="1010" t="s">
        <v>267</v>
      </c>
      <c r="D106" s="1010" t="s">
        <v>260</v>
      </c>
      <c r="E106" s="1012">
        <v>26050</v>
      </c>
      <c r="F106" s="1008"/>
      <c r="G106" s="1010" t="s">
        <v>3849</v>
      </c>
      <c r="H106" s="1014">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10" t="s">
        <v>3850</v>
      </c>
      <c r="B107" s="1010" t="s">
        <v>268</v>
      </c>
      <c r="C107" s="1010" t="s">
        <v>3542</v>
      </c>
      <c r="D107" s="1010" t="s">
        <v>3543</v>
      </c>
      <c r="E107" s="1012">
        <v>29050</v>
      </c>
      <c r="F107" s="1008"/>
      <c r="G107" s="1010" t="s">
        <v>3851</v>
      </c>
      <c r="H107" s="1014">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10" t="s">
        <v>3852</v>
      </c>
      <c r="B108" s="1010" t="s">
        <v>275</v>
      </c>
      <c r="C108" s="1010" t="s">
        <v>3468</v>
      </c>
      <c r="D108" s="1010" t="s">
        <v>3853</v>
      </c>
      <c r="E108" s="1012">
        <v>35550</v>
      </c>
      <c r="F108" s="1008"/>
      <c r="G108" s="1010" t="s">
        <v>3854</v>
      </c>
      <c r="H108" s="1014">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10" t="s">
        <v>3855</v>
      </c>
      <c r="B109" s="1010" t="s">
        <v>3339</v>
      </c>
      <c r="C109" s="1010" t="s">
        <v>267</v>
      </c>
      <c r="D109" s="1010" t="s">
        <v>265</v>
      </c>
      <c r="E109" s="1012">
        <v>4050</v>
      </c>
      <c r="F109" s="1008"/>
      <c r="G109" s="1010" t="s">
        <v>3856</v>
      </c>
      <c r="H109" s="1014">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2" t="s">
        <v>270</v>
      </c>
      <c r="B112" s="992" t="s">
        <v>271</v>
      </c>
      <c r="C112" s="992" t="s">
        <v>267</v>
      </c>
      <c r="D112" s="992" t="s">
        <v>265</v>
      </c>
      <c r="E112" s="990">
        <v>9521.7099999999991</v>
      </c>
      <c r="F112" s="989"/>
      <c r="G112" s="992" t="s">
        <v>272</v>
      </c>
      <c r="H112" s="991">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2" t="s">
        <v>3408</v>
      </c>
      <c r="B113" s="992" t="s">
        <v>275</v>
      </c>
      <c r="C113" s="992" t="s">
        <v>3409</v>
      </c>
      <c r="D113" s="992" t="s">
        <v>3656</v>
      </c>
      <c r="E113" s="990">
        <v>36739.79</v>
      </c>
      <c r="F113" s="989"/>
      <c r="G113" s="992" t="s">
        <v>3410</v>
      </c>
      <c r="H113" s="991">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2" t="s">
        <v>3443</v>
      </c>
      <c r="B114" s="992" t="s">
        <v>3442</v>
      </c>
      <c r="C114" s="992" t="s">
        <v>267</v>
      </c>
      <c r="D114" s="992" t="s">
        <v>1411</v>
      </c>
      <c r="E114" s="990">
        <v>11948.62</v>
      </c>
      <c r="F114" s="989"/>
      <c r="G114" s="992" t="s">
        <v>3444</v>
      </c>
      <c r="H114" s="991">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00" t="s">
        <v>252</v>
      </c>
      <c r="B1" s="1006" t="s">
        <v>9</v>
      </c>
      <c r="C1" s="1006" t="s">
        <v>253</v>
      </c>
      <c r="D1" s="1006" t="s">
        <v>254</v>
      </c>
      <c r="E1" s="1002" t="s">
        <v>841</v>
      </c>
      <c r="F1" s="1002" t="s">
        <v>903</v>
      </c>
      <c r="G1" s="1000" t="s">
        <v>257</v>
      </c>
      <c r="H1" s="1004"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1" t="s">
        <v>3436</v>
      </c>
      <c r="B2" s="1001" t="s">
        <v>264</v>
      </c>
      <c r="C2" s="1001" t="s">
        <v>267</v>
      </c>
      <c r="D2" s="1001" t="s">
        <v>265</v>
      </c>
      <c r="E2" s="1003">
        <v>33666.97</v>
      </c>
      <c r="F2" s="1003">
        <v>-31504.85</v>
      </c>
      <c r="G2" s="1001" t="s">
        <v>3437</v>
      </c>
      <c r="H2" s="998">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1" t="s">
        <v>3434</v>
      </c>
      <c r="B3" s="1001" t="s">
        <v>3438</v>
      </c>
      <c r="C3" s="1001" t="s">
        <v>267</v>
      </c>
      <c r="D3" s="1001" t="s">
        <v>262</v>
      </c>
      <c r="E3" s="1003">
        <v>56706.1</v>
      </c>
      <c r="F3" s="1003">
        <v>-57628.2</v>
      </c>
      <c r="G3" s="1001" t="s">
        <v>3435</v>
      </c>
      <c r="H3" s="998">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1" t="s">
        <v>3455</v>
      </c>
      <c r="B4" s="1001" t="s">
        <v>264</v>
      </c>
      <c r="C4" s="1001" t="s">
        <v>267</v>
      </c>
      <c r="D4" s="1001" t="s">
        <v>265</v>
      </c>
      <c r="E4" s="1003">
        <v>31163.98</v>
      </c>
      <c r="F4" s="1003">
        <v>-32628.75</v>
      </c>
      <c r="G4" s="1001" t="s">
        <v>3456</v>
      </c>
      <c r="H4" s="998">
        <v>116</v>
      </c>
      <c r="I4" s="138"/>
      <c r="J4" s="138"/>
      <c r="K4" s="138"/>
      <c r="L4" s="138"/>
      <c r="M4" s="138"/>
      <c r="N4" s="138"/>
      <c r="O4" s="138"/>
      <c r="P4" s="138"/>
      <c r="Q4" s="138"/>
      <c r="R4" s="138"/>
      <c r="S4" s="138"/>
      <c r="T4" s="138"/>
      <c r="U4" s="138"/>
      <c r="V4" s="138"/>
      <c r="W4" s="138"/>
      <c r="X4" s="138"/>
      <c r="Y4" s="138"/>
      <c r="Z4" s="138"/>
    </row>
    <row r="5" spans="1:26" ht="14.25" customHeight="1">
      <c r="A5" s="1001" t="s">
        <v>3453</v>
      </c>
      <c r="B5" s="1001" t="s">
        <v>264</v>
      </c>
      <c r="C5" s="1001" t="s">
        <v>267</v>
      </c>
      <c r="D5" s="1001" t="s">
        <v>976</v>
      </c>
      <c r="E5" s="1003">
        <v>38081.07</v>
      </c>
      <c r="F5" s="1003">
        <v>-39936.75</v>
      </c>
      <c r="G5" s="1001" t="s">
        <v>3454</v>
      </c>
      <c r="H5" s="998">
        <v>111</v>
      </c>
      <c r="I5" s="138"/>
      <c r="J5" s="138"/>
      <c r="K5" s="138"/>
      <c r="L5" s="138"/>
      <c r="M5" s="138"/>
      <c r="N5" s="138"/>
      <c r="O5" s="138"/>
      <c r="P5" s="138"/>
      <c r="Q5" s="138"/>
      <c r="R5" s="138"/>
      <c r="S5" s="138"/>
      <c r="T5" s="138"/>
      <c r="U5" s="138"/>
      <c r="V5" s="138"/>
      <c r="W5" s="138"/>
      <c r="X5" s="138"/>
      <c r="Y5" s="138"/>
      <c r="Z5" s="138"/>
    </row>
    <row r="6" spans="1:26" ht="14.25" customHeight="1">
      <c r="A6" s="1001" t="s">
        <v>3449</v>
      </c>
      <c r="B6" s="1001" t="s">
        <v>3438</v>
      </c>
      <c r="C6" s="1001" t="s">
        <v>267</v>
      </c>
      <c r="D6" s="1001" t="s">
        <v>262</v>
      </c>
      <c r="E6" s="1003">
        <v>50511.98</v>
      </c>
      <c r="F6" s="1003">
        <v>-51427.95</v>
      </c>
      <c r="G6" s="1001" t="s">
        <v>3450</v>
      </c>
      <c r="H6" s="998">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1" t="s">
        <v>3447</v>
      </c>
      <c r="B7" s="1001" t="s">
        <v>3438</v>
      </c>
      <c r="C7" s="1001" t="s">
        <v>267</v>
      </c>
      <c r="D7" s="1001" t="s">
        <v>3457</v>
      </c>
      <c r="E7" s="1003">
        <v>54659.17</v>
      </c>
      <c r="F7" s="1003">
        <v>-57051.75</v>
      </c>
      <c r="G7" s="1001" t="s">
        <v>3448</v>
      </c>
      <c r="H7" s="998">
        <v>104</v>
      </c>
      <c r="I7" s="138"/>
      <c r="J7" s="138"/>
      <c r="K7" s="138"/>
      <c r="L7" s="953">
        <v>2</v>
      </c>
      <c r="M7" s="145"/>
      <c r="N7" s="138"/>
      <c r="O7" s="138"/>
      <c r="P7" s="138"/>
      <c r="Q7" s="138"/>
      <c r="R7" s="138"/>
      <c r="S7" s="138"/>
      <c r="T7" s="138"/>
      <c r="U7" s="138"/>
      <c r="V7" s="138"/>
      <c r="W7" s="138"/>
      <c r="X7" s="138"/>
      <c r="Y7" s="138"/>
      <c r="Z7" s="138"/>
    </row>
    <row r="8" spans="1:26" ht="14.25" customHeight="1">
      <c r="A8" s="1001" t="s">
        <v>3451</v>
      </c>
      <c r="B8" s="1001" t="s">
        <v>3438</v>
      </c>
      <c r="C8" s="1001" t="s">
        <v>267</v>
      </c>
      <c r="D8" s="1001" t="s">
        <v>3457</v>
      </c>
      <c r="E8" s="1003">
        <v>48328.17</v>
      </c>
      <c r="F8" s="1003">
        <v>-51136.05</v>
      </c>
      <c r="G8" s="1001" t="s">
        <v>3452</v>
      </c>
      <c r="H8" s="998">
        <v>97</v>
      </c>
      <c r="I8" s="138"/>
      <c r="J8" s="138"/>
      <c r="K8" s="138"/>
      <c r="L8" s="4"/>
      <c r="M8" s="144"/>
      <c r="N8" s="138"/>
      <c r="O8" s="138"/>
      <c r="P8" s="138"/>
      <c r="Q8" s="138"/>
      <c r="R8" s="138"/>
      <c r="S8" s="138"/>
      <c r="T8" s="138"/>
      <c r="U8" s="138"/>
      <c r="V8" s="138"/>
      <c r="W8" s="138"/>
      <c r="X8" s="138"/>
      <c r="Y8" s="138"/>
      <c r="Z8" s="138"/>
    </row>
    <row r="9" spans="1:26" ht="14.25" customHeight="1">
      <c r="A9" s="1001" t="s">
        <v>3445</v>
      </c>
      <c r="B9" s="1001" t="s">
        <v>3438</v>
      </c>
      <c r="C9" s="1001" t="s">
        <v>267</v>
      </c>
      <c r="D9" s="1001" t="s">
        <v>3457</v>
      </c>
      <c r="E9" s="1003">
        <v>57229.1</v>
      </c>
      <c r="F9" s="999"/>
      <c r="G9" s="1001" t="s">
        <v>3446</v>
      </c>
      <c r="H9" s="998">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1" t="s">
        <v>3480</v>
      </c>
      <c r="B10" s="1001" t="s">
        <v>3438</v>
      </c>
      <c r="C10" s="1001" t="s">
        <v>267</v>
      </c>
      <c r="D10" s="1001" t="s">
        <v>262</v>
      </c>
      <c r="E10" s="1003">
        <v>58141.01</v>
      </c>
      <c r="F10" s="999"/>
      <c r="G10" s="1001" t="s">
        <v>3481</v>
      </c>
      <c r="H10" s="998">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1" t="s">
        <v>3484</v>
      </c>
      <c r="B11" s="1001" t="s">
        <v>3438</v>
      </c>
      <c r="C11" s="1001" t="s">
        <v>267</v>
      </c>
      <c r="D11" s="1001" t="s">
        <v>262</v>
      </c>
      <c r="E11" s="1003">
        <v>48171.23</v>
      </c>
      <c r="F11" s="999"/>
      <c r="G11" s="1001" t="s">
        <v>3485</v>
      </c>
      <c r="H11" s="998">
        <v>90</v>
      </c>
      <c r="I11" s="138"/>
      <c r="J11" s="138"/>
      <c r="K11" s="138"/>
      <c r="L11" s="138"/>
      <c r="M11" s="138"/>
      <c r="N11" s="138"/>
      <c r="O11" s="138"/>
      <c r="P11" s="138"/>
      <c r="Q11" s="138"/>
      <c r="R11" s="138"/>
      <c r="S11" s="138"/>
      <c r="T11" s="138"/>
      <c r="U11" s="138"/>
      <c r="V11" s="138"/>
      <c r="W11" s="138"/>
      <c r="X11" s="138"/>
      <c r="Y11" s="138"/>
      <c r="Z11" s="138"/>
    </row>
    <row r="12" spans="1:26" ht="14.25" customHeight="1">
      <c r="A12" s="1001" t="s">
        <v>3494</v>
      </c>
      <c r="B12" s="1001" t="s">
        <v>3438</v>
      </c>
      <c r="C12" s="1001" t="s">
        <v>267</v>
      </c>
      <c r="D12" s="1001" t="s">
        <v>3457</v>
      </c>
      <c r="E12" s="1003">
        <v>56292.01</v>
      </c>
      <c r="F12" s="1003">
        <v>-57051.75</v>
      </c>
      <c r="G12" s="1001" t="s">
        <v>3495</v>
      </c>
      <c r="H12" s="998">
        <v>90</v>
      </c>
      <c r="I12" s="138"/>
      <c r="J12" s="138"/>
      <c r="K12" s="138"/>
      <c r="L12" s="138"/>
      <c r="M12" s="138"/>
      <c r="N12" s="138"/>
      <c r="O12" s="138"/>
      <c r="P12" s="138"/>
      <c r="Q12" s="138"/>
      <c r="R12" s="138"/>
      <c r="S12" s="138"/>
      <c r="T12" s="138"/>
      <c r="U12" s="138"/>
      <c r="V12" s="138"/>
      <c r="W12" s="138"/>
      <c r="X12" s="138"/>
      <c r="Y12" s="138"/>
      <c r="Z12" s="138"/>
    </row>
    <row r="13" spans="1:26" ht="14.25" customHeight="1">
      <c r="A13" s="1001" t="s">
        <v>3482</v>
      </c>
      <c r="B13" s="1001" t="s">
        <v>3438</v>
      </c>
      <c r="C13" s="1001" t="s">
        <v>267</v>
      </c>
      <c r="D13" s="1001" t="s">
        <v>262</v>
      </c>
      <c r="E13" s="1003">
        <v>56073.919999999998</v>
      </c>
      <c r="F13" s="1003">
        <v>-58869.3</v>
      </c>
      <c r="G13" s="1001" t="s">
        <v>3483</v>
      </c>
      <c r="H13" s="1005">
        <v>86</v>
      </c>
      <c r="I13" s="138"/>
      <c r="J13" s="138"/>
      <c r="K13" s="138"/>
      <c r="L13" s="138"/>
      <c r="M13" s="138"/>
      <c r="N13" s="138"/>
      <c r="O13" s="138"/>
      <c r="P13" s="138"/>
      <c r="Q13" s="138"/>
      <c r="R13" s="138"/>
      <c r="S13" s="138"/>
      <c r="T13" s="138"/>
      <c r="U13" s="138"/>
      <c r="V13" s="138"/>
      <c r="W13" s="138"/>
      <c r="X13" s="138"/>
      <c r="Y13" s="138"/>
      <c r="Z13" s="138"/>
    </row>
    <row r="14" spans="1:26" ht="14.25" customHeight="1">
      <c r="A14" s="1001" t="s">
        <v>3498</v>
      </c>
      <c r="B14" s="1001" t="s">
        <v>3438</v>
      </c>
      <c r="C14" s="1001" t="s">
        <v>267</v>
      </c>
      <c r="D14" s="1001" t="s">
        <v>279</v>
      </c>
      <c r="E14" s="1003">
        <v>37397</v>
      </c>
      <c r="F14" s="1003">
        <v>-39440.1</v>
      </c>
      <c r="G14" s="1001" t="s">
        <v>3499</v>
      </c>
      <c r="H14" s="1005">
        <v>86</v>
      </c>
      <c r="I14" s="138"/>
      <c r="J14" s="138"/>
      <c r="K14" s="138"/>
      <c r="L14" s="138"/>
      <c r="M14" s="138"/>
      <c r="N14" s="138"/>
      <c r="O14" s="138"/>
      <c r="P14" s="138"/>
      <c r="Q14" s="138"/>
      <c r="R14" s="138"/>
      <c r="S14" s="138"/>
      <c r="T14" s="138"/>
      <c r="U14" s="138"/>
      <c r="V14" s="138"/>
      <c r="W14" s="138"/>
      <c r="X14" s="138"/>
      <c r="Y14" s="138"/>
      <c r="Z14" s="138"/>
    </row>
    <row r="15" spans="1:26" ht="14.25" customHeight="1">
      <c r="A15" s="1001" t="s">
        <v>3486</v>
      </c>
      <c r="B15" s="1001" t="s">
        <v>3438</v>
      </c>
      <c r="C15" s="1001" t="s">
        <v>267</v>
      </c>
      <c r="D15" s="1001" t="s">
        <v>3457</v>
      </c>
      <c r="E15" s="1003">
        <v>56197.99</v>
      </c>
      <c r="F15" s="1003">
        <v>-58834.65</v>
      </c>
      <c r="G15" s="1001" t="s">
        <v>3487</v>
      </c>
      <c r="H15" s="1005">
        <v>82</v>
      </c>
      <c r="I15" s="138"/>
      <c r="J15" s="138"/>
      <c r="K15" s="138"/>
      <c r="L15" s="138"/>
      <c r="M15" s="138"/>
      <c r="N15" s="138"/>
      <c r="O15" s="138"/>
      <c r="P15" s="138"/>
      <c r="Q15" s="138"/>
      <c r="R15" s="138"/>
      <c r="S15" s="138"/>
      <c r="T15" s="138"/>
      <c r="U15" s="138"/>
      <c r="V15" s="138"/>
      <c r="W15" s="138"/>
      <c r="X15" s="138"/>
      <c r="Y15" s="138"/>
      <c r="Z15" s="138"/>
    </row>
    <row r="16" spans="1:26" ht="14.25" customHeight="1">
      <c r="A16" s="1001" t="s">
        <v>3476</v>
      </c>
      <c r="B16" s="1001" t="s">
        <v>264</v>
      </c>
      <c r="C16" s="1001" t="s">
        <v>267</v>
      </c>
      <c r="D16" s="1001" t="s">
        <v>976</v>
      </c>
      <c r="E16" s="1003">
        <v>32135.51</v>
      </c>
      <c r="F16" s="1003">
        <v>-34034.699999999997</v>
      </c>
      <c r="G16" s="1001" t="s">
        <v>3477</v>
      </c>
      <c r="H16" s="1005">
        <v>80</v>
      </c>
      <c r="I16" s="138"/>
      <c r="J16" s="138"/>
      <c r="K16" s="138"/>
      <c r="L16" s="138"/>
      <c r="M16" s="138"/>
      <c r="N16" s="138"/>
      <c r="O16" s="138"/>
      <c r="P16" s="138"/>
      <c r="Q16" s="138"/>
      <c r="R16" s="138"/>
      <c r="S16" s="138"/>
      <c r="T16" s="138"/>
      <c r="U16" s="138"/>
      <c r="V16" s="138"/>
      <c r="W16" s="138"/>
      <c r="X16" s="138"/>
      <c r="Y16" s="138"/>
      <c r="Z16" s="138"/>
    </row>
    <row r="17" spans="1:26" ht="14.25" customHeight="1">
      <c r="A17" s="1001" t="s">
        <v>3488</v>
      </c>
      <c r="B17" s="1001" t="s">
        <v>3438</v>
      </c>
      <c r="C17" s="1001" t="s">
        <v>267</v>
      </c>
      <c r="D17" s="1001" t="s">
        <v>3457</v>
      </c>
      <c r="E17" s="1003">
        <v>55950.97</v>
      </c>
      <c r="F17" s="1003">
        <v>-58834.65</v>
      </c>
      <c r="G17" s="1001" t="s">
        <v>3489</v>
      </c>
      <c r="H17" s="1005">
        <v>74</v>
      </c>
      <c r="I17" s="138"/>
      <c r="J17" s="138"/>
      <c r="K17" s="138"/>
      <c r="L17" s="138"/>
      <c r="M17" s="138"/>
      <c r="N17" s="138"/>
      <c r="O17" s="138"/>
      <c r="P17" s="138"/>
      <c r="Q17" s="138"/>
      <c r="R17" s="138"/>
      <c r="S17" s="138"/>
      <c r="T17" s="138"/>
      <c r="U17" s="138"/>
      <c r="V17" s="138"/>
      <c r="W17" s="138"/>
      <c r="X17" s="138"/>
      <c r="Y17" s="138"/>
      <c r="Z17" s="138"/>
    </row>
    <row r="18" spans="1:26" ht="14.25" customHeight="1">
      <c r="A18" s="1001" t="s">
        <v>3490</v>
      </c>
      <c r="B18" s="1001" t="s">
        <v>3438</v>
      </c>
      <c r="C18" s="1001" t="s">
        <v>267</v>
      </c>
      <c r="D18" s="1001" t="s">
        <v>3457</v>
      </c>
      <c r="E18" s="1003">
        <v>55950.97</v>
      </c>
      <c r="F18" s="1003">
        <v>-58834.65</v>
      </c>
      <c r="G18" s="1001" t="s">
        <v>3491</v>
      </c>
      <c r="H18" s="1005">
        <v>74</v>
      </c>
      <c r="I18" s="138"/>
      <c r="J18" s="138"/>
      <c r="K18" s="138"/>
      <c r="L18" s="138"/>
      <c r="M18" s="138"/>
      <c r="N18" s="138"/>
      <c r="O18" s="138"/>
      <c r="P18" s="138"/>
      <c r="Q18" s="138"/>
      <c r="R18" s="138"/>
      <c r="S18" s="138"/>
      <c r="T18" s="138"/>
      <c r="U18" s="138"/>
      <c r="V18" s="138"/>
      <c r="W18" s="138"/>
      <c r="X18" s="138"/>
      <c r="Y18" s="138"/>
      <c r="Z18" s="138"/>
    </row>
    <row r="19" spans="1:26" ht="14.25" customHeight="1">
      <c r="A19" s="1001" t="s">
        <v>3508</v>
      </c>
      <c r="B19" s="1001" t="s">
        <v>3438</v>
      </c>
      <c r="C19" s="1001" t="s">
        <v>267</v>
      </c>
      <c r="D19" s="1001" t="s">
        <v>265</v>
      </c>
      <c r="E19" s="1003">
        <v>26927</v>
      </c>
      <c r="F19" s="1003">
        <v>-28367.85</v>
      </c>
      <c r="G19" s="1001" t="s">
        <v>3509</v>
      </c>
      <c r="H19" s="1005">
        <v>74</v>
      </c>
      <c r="I19" s="138"/>
      <c r="J19" s="138"/>
      <c r="K19" s="138"/>
      <c r="L19" s="138"/>
      <c r="M19" s="138"/>
      <c r="N19" s="138"/>
      <c r="O19" s="138"/>
      <c r="P19" s="138"/>
      <c r="Q19" s="138"/>
      <c r="R19" s="138"/>
      <c r="S19" s="138"/>
      <c r="T19" s="138"/>
      <c r="U19" s="138"/>
      <c r="V19" s="138"/>
      <c r="W19" s="138"/>
      <c r="X19" s="138"/>
      <c r="Y19" s="138"/>
      <c r="Z19" s="138"/>
    </row>
    <row r="20" spans="1:26" ht="14.25" customHeight="1">
      <c r="A20" s="1001" t="s">
        <v>3474</v>
      </c>
      <c r="B20" s="1001" t="s">
        <v>264</v>
      </c>
      <c r="C20" s="1001" t="s">
        <v>267</v>
      </c>
      <c r="D20" s="1001" t="s">
        <v>976</v>
      </c>
      <c r="E20" s="1003">
        <v>37610</v>
      </c>
      <c r="F20" s="1003">
        <v>-39461.1</v>
      </c>
      <c r="G20" s="1001" t="s">
        <v>3475</v>
      </c>
      <c r="H20" s="1005">
        <v>73</v>
      </c>
      <c r="I20" s="138"/>
      <c r="J20" s="138"/>
      <c r="K20" s="138"/>
      <c r="L20" s="138"/>
      <c r="M20" s="138"/>
      <c r="N20" s="138"/>
      <c r="O20" s="138"/>
      <c r="P20" s="138"/>
      <c r="Q20" s="138"/>
      <c r="R20" s="138"/>
      <c r="S20" s="138"/>
      <c r="T20" s="138"/>
      <c r="U20" s="138"/>
      <c r="V20" s="138"/>
      <c r="W20" s="138"/>
      <c r="X20" s="138"/>
      <c r="Y20" s="138"/>
      <c r="Z20" s="138"/>
    </row>
    <row r="21" spans="1:26" ht="14.25" customHeight="1">
      <c r="A21" s="1001" t="s">
        <v>3492</v>
      </c>
      <c r="B21" s="1001" t="s">
        <v>3438</v>
      </c>
      <c r="C21" s="1001" t="s">
        <v>267</v>
      </c>
      <c r="D21" s="1001" t="s">
        <v>3457</v>
      </c>
      <c r="E21" s="1003">
        <v>55950.97</v>
      </c>
      <c r="F21" s="1003">
        <v>-58834.65</v>
      </c>
      <c r="G21" s="1001" t="s">
        <v>3493</v>
      </c>
      <c r="H21" s="1005">
        <v>73</v>
      </c>
      <c r="I21" s="138"/>
      <c r="J21" s="138"/>
      <c r="K21" s="138"/>
      <c r="L21" s="138"/>
      <c r="M21" s="138"/>
      <c r="N21" s="138"/>
      <c r="O21" s="138"/>
      <c r="P21" s="138"/>
      <c r="Q21" s="138"/>
      <c r="R21" s="138"/>
      <c r="S21" s="138"/>
      <c r="T21" s="138"/>
      <c r="U21" s="138"/>
      <c r="V21" s="138"/>
      <c r="W21" s="138"/>
      <c r="X21" s="138"/>
      <c r="Y21" s="138"/>
      <c r="Z21" s="138"/>
    </row>
    <row r="22" spans="1:26" ht="14.25" customHeight="1">
      <c r="A22" s="1001" t="s">
        <v>3506</v>
      </c>
      <c r="B22" s="1001" t="s">
        <v>3438</v>
      </c>
      <c r="C22" s="1001" t="s">
        <v>267</v>
      </c>
      <c r="D22" s="1001" t="s">
        <v>265</v>
      </c>
      <c r="E22" s="1003">
        <v>29531</v>
      </c>
      <c r="F22" s="1003">
        <v>-31102.05</v>
      </c>
      <c r="G22" s="1001" t="s">
        <v>3507</v>
      </c>
      <c r="H22" s="1005">
        <v>73</v>
      </c>
      <c r="I22" s="138"/>
      <c r="J22" s="138"/>
      <c r="K22" s="138"/>
      <c r="L22" s="138"/>
      <c r="M22" s="138"/>
      <c r="N22" s="138"/>
      <c r="O22" s="138"/>
      <c r="P22" s="138"/>
      <c r="Q22" s="138"/>
      <c r="R22" s="138"/>
      <c r="S22" s="138"/>
      <c r="T22" s="138"/>
      <c r="U22" s="138"/>
      <c r="V22" s="138"/>
      <c r="W22" s="138"/>
      <c r="X22" s="138"/>
      <c r="Y22" s="138"/>
      <c r="Z22" s="138"/>
    </row>
    <row r="23" spans="1:26" ht="14.25" customHeight="1">
      <c r="A23" s="1001" t="s">
        <v>3496</v>
      </c>
      <c r="B23" s="1001" t="s">
        <v>3438</v>
      </c>
      <c r="C23" s="1001" t="s">
        <v>267</v>
      </c>
      <c r="D23" s="1001" t="s">
        <v>3457</v>
      </c>
      <c r="E23" s="1003">
        <v>54250</v>
      </c>
      <c r="F23" s="1003">
        <v>-57051.75</v>
      </c>
      <c r="G23" s="1001" t="s">
        <v>3497</v>
      </c>
      <c r="H23" s="1005">
        <v>68</v>
      </c>
      <c r="I23" s="138"/>
      <c r="J23" s="138"/>
      <c r="K23" s="138"/>
      <c r="L23" s="138"/>
      <c r="M23" s="138"/>
      <c r="N23" s="138"/>
      <c r="O23" s="138"/>
      <c r="P23" s="138"/>
      <c r="Q23" s="138"/>
      <c r="R23" s="138"/>
      <c r="S23" s="138"/>
      <c r="T23" s="138"/>
      <c r="U23" s="138"/>
      <c r="V23" s="138"/>
      <c r="W23" s="138"/>
      <c r="X23" s="138"/>
      <c r="Y23" s="138"/>
      <c r="Z23" s="138"/>
    </row>
    <row r="24" spans="1:26" ht="14.25" customHeight="1">
      <c r="A24" s="1001" t="s">
        <v>3500</v>
      </c>
      <c r="B24" s="1001" t="s">
        <v>3438</v>
      </c>
      <c r="C24" s="1001" t="s">
        <v>267</v>
      </c>
      <c r="D24" s="1001" t="s">
        <v>279</v>
      </c>
      <c r="E24" s="1003">
        <v>37506.9</v>
      </c>
      <c r="F24" s="1003">
        <v>-39440.1</v>
      </c>
      <c r="G24" s="1001" t="s">
        <v>3501</v>
      </c>
      <c r="H24" s="1005">
        <v>68</v>
      </c>
      <c r="I24" s="138"/>
      <c r="J24" s="138"/>
      <c r="K24" s="138"/>
      <c r="L24" s="138"/>
      <c r="M24" s="138"/>
      <c r="N24" s="138"/>
      <c r="O24" s="138"/>
      <c r="P24" s="138"/>
      <c r="Q24" s="138"/>
      <c r="R24" s="138"/>
      <c r="S24" s="138"/>
      <c r="T24" s="138"/>
      <c r="U24" s="138"/>
      <c r="V24" s="138"/>
      <c r="W24" s="138"/>
      <c r="X24" s="138"/>
      <c r="Y24" s="138"/>
      <c r="Z24" s="138"/>
    </row>
    <row r="25" spans="1:26" ht="14.25" customHeight="1">
      <c r="A25" s="1001" t="s">
        <v>3502</v>
      </c>
      <c r="B25" s="1001" t="s">
        <v>3438</v>
      </c>
      <c r="C25" s="1001" t="s">
        <v>267</v>
      </c>
      <c r="D25" s="1001" t="s">
        <v>3439</v>
      </c>
      <c r="E25" s="1003">
        <v>32637</v>
      </c>
      <c r="F25" s="1003">
        <v>-34363.35</v>
      </c>
      <c r="G25" s="1001" t="s">
        <v>3503</v>
      </c>
      <c r="H25" s="1005">
        <v>68</v>
      </c>
      <c r="I25" s="138"/>
      <c r="J25" s="138"/>
      <c r="K25" s="138"/>
      <c r="L25" s="138"/>
      <c r="M25" s="138"/>
      <c r="N25" s="138"/>
      <c r="O25" s="138"/>
      <c r="P25" s="138"/>
      <c r="Q25" s="138"/>
      <c r="R25" s="138"/>
      <c r="S25" s="138"/>
      <c r="T25" s="138"/>
      <c r="U25" s="138"/>
      <c r="V25" s="138"/>
      <c r="W25" s="138"/>
      <c r="X25" s="138"/>
      <c r="Y25" s="138"/>
      <c r="Z25" s="138"/>
    </row>
    <row r="26" spans="1:26" ht="14.25" customHeight="1">
      <c r="A26" s="1001" t="s">
        <v>3478</v>
      </c>
      <c r="B26" s="1001" t="s">
        <v>264</v>
      </c>
      <c r="C26" s="1001" t="s">
        <v>267</v>
      </c>
      <c r="D26" s="1001" t="s">
        <v>976</v>
      </c>
      <c r="E26" s="1003">
        <v>28066.02</v>
      </c>
      <c r="F26" s="1003">
        <v>-28951.65</v>
      </c>
      <c r="G26" s="1001" t="s">
        <v>3479</v>
      </c>
      <c r="H26" s="1005">
        <v>62</v>
      </c>
      <c r="I26" s="138"/>
      <c r="J26" s="138"/>
      <c r="K26" s="138"/>
      <c r="L26" s="138"/>
      <c r="M26" s="138"/>
      <c r="N26" s="138"/>
      <c r="O26" s="138"/>
      <c r="P26" s="138"/>
      <c r="Q26" s="138"/>
      <c r="R26" s="138"/>
      <c r="S26" s="138"/>
      <c r="T26" s="138"/>
      <c r="U26" s="138"/>
      <c r="V26" s="138"/>
      <c r="W26" s="138"/>
      <c r="X26" s="138"/>
      <c r="Y26" s="138"/>
      <c r="Z26" s="138"/>
    </row>
    <row r="27" spans="1:26" ht="14.25" customHeight="1">
      <c r="A27" s="1001" t="s">
        <v>3504</v>
      </c>
      <c r="B27" s="1001" t="s">
        <v>3438</v>
      </c>
      <c r="C27" s="1001" t="s">
        <v>267</v>
      </c>
      <c r="D27" s="1001" t="s">
        <v>265</v>
      </c>
      <c r="E27" s="1003">
        <v>32017.87</v>
      </c>
      <c r="F27" s="1003">
        <v>-33204.15</v>
      </c>
      <c r="G27" s="1001" t="s">
        <v>3505</v>
      </c>
      <c r="H27" s="1005">
        <v>62</v>
      </c>
      <c r="I27" s="138"/>
      <c r="J27" s="138"/>
      <c r="K27" s="138"/>
      <c r="L27" s="138"/>
      <c r="M27" s="138"/>
      <c r="N27" s="138"/>
      <c r="O27" s="138"/>
      <c r="P27" s="138"/>
      <c r="Q27" s="138"/>
      <c r="R27" s="138"/>
      <c r="S27" s="138"/>
      <c r="T27" s="138"/>
      <c r="U27" s="138"/>
      <c r="V27" s="138"/>
      <c r="W27" s="138"/>
      <c r="X27" s="138"/>
      <c r="Y27" s="138"/>
      <c r="Z27" s="138"/>
    </row>
    <row r="28" spans="1:26" ht="14.25" customHeight="1">
      <c r="A28" s="1001" t="s">
        <v>3555</v>
      </c>
      <c r="B28" s="1001" t="s">
        <v>3438</v>
      </c>
      <c r="C28" s="1001" t="s">
        <v>267</v>
      </c>
      <c r="D28" s="1001" t="s">
        <v>3439</v>
      </c>
      <c r="E28" s="1003">
        <v>31816.52</v>
      </c>
      <c r="F28" s="999"/>
      <c r="G28" s="1001" t="s">
        <v>3562</v>
      </c>
      <c r="H28" s="1005">
        <v>52</v>
      </c>
      <c r="I28" s="138"/>
      <c r="J28" s="138"/>
      <c r="K28" s="138"/>
      <c r="L28" s="138"/>
      <c r="M28" s="138"/>
      <c r="N28" s="138"/>
      <c r="O28" s="138"/>
      <c r="P28" s="138"/>
      <c r="Q28" s="138"/>
      <c r="R28" s="138"/>
      <c r="S28" s="138"/>
      <c r="T28" s="138"/>
      <c r="U28" s="138"/>
      <c r="V28" s="138"/>
      <c r="W28" s="138"/>
      <c r="X28" s="138"/>
      <c r="Y28" s="138"/>
      <c r="Z28" s="138"/>
    </row>
    <row r="29" spans="1:26" ht="14.25" customHeight="1">
      <c r="A29" s="1001" t="s">
        <v>3686</v>
      </c>
      <c r="B29" s="1001" t="s">
        <v>3438</v>
      </c>
      <c r="C29" s="1001" t="s">
        <v>267</v>
      </c>
      <c r="D29" s="1001" t="s">
        <v>3439</v>
      </c>
      <c r="E29" s="1003">
        <v>31513</v>
      </c>
      <c r="F29" s="999"/>
      <c r="G29" s="1001" t="s">
        <v>3687</v>
      </c>
      <c r="H29" s="1005">
        <v>51</v>
      </c>
      <c r="I29" s="138"/>
      <c r="J29" s="138"/>
      <c r="K29" s="138"/>
      <c r="L29" s="138"/>
      <c r="M29" s="138"/>
      <c r="N29" s="138"/>
      <c r="O29" s="138"/>
      <c r="P29" s="138"/>
      <c r="Q29" s="138"/>
      <c r="R29" s="138"/>
      <c r="S29" s="138"/>
      <c r="T29" s="138"/>
      <c r="U29" s="138"/>
      <c r="V29" s="138"/>
      <c r="W29" s="138"/>
      <c r="X29" s="138"/>
      <c r="Y29" s="138"/>
      <c r="Z29" s="138"/>
    </row>
    <row r="30" spans="1:26" ht="14.25" customHeight="1">
      <c r="A30" s="1001" t="s">
        <v>3559</v>
      </c>
      <c r="B30" s="1001" t="s">
        <v>3438</v>
      </c>
      <c r="C30" s="1001" t="s">
        <v>267</v>
      </c>
      <c r="D30" s="1001" t="s">
        <v>262</v>
      </c>
      <c r="E30" s="1003">
        <v>48894</v>
      </c>
      <c r="F30" s="1003">
        <v>-51427.95</v>
      </c>
      <c r="G30" s="1001" t="s">
        <v>3565</v>
      </c>
      <c r="H30" s="1005">
        <v>48</v>
      </c>
      <c r="I30" s="138"/>
      <c r="J30" s="138"/>
      <c r="K30" s="138"/>
      <c r="L30" s="138"/>
      <c r="M30" s="138"/>
      <c r="N30" s="138"/>
      <c r="O30" s="138"/>
      <c r="P30" s="138"/>
      <c r="Q30" s="138"/>
      <c r="R30" s="138"/>
      <c r="S30" s="138"/>
      <c r="T30" s="138"/>
      <c r="U30" s="138"/>
      <c r="V30" s="138"/>
      <c r="W30" s="138"/>
      <c r="X30" s="138"/>
      <c r="Y30" s="138"/>
      <c r="Z30" s="138"/>
    </row>
    <row r="31" spans="1:26" ht="14.25" customHeight="1">
      <c r="A31" s="1001" t="s">
        <v>3574</v>
      </c>
      <c r="B31" s="1001" t="s">
        <v>3438</v>
      </c>
      <c r="C31" s="1001" t="s">
        <v>267</v>
      </c>
      <c r="D31" s="1001" t="s">
        <v>3457</v>
      </c>
      <c r="E31" s="1003">
        <v>55948</v>
      </c>
      <c r="F31" s="1003">
        <v>-58834.65</v>
      </c>
      <c r="G31" s="1001" t="s">
        <v>3564</v>
      </c>
      <c r="H31" s="1005">
        <v>48</v>
      </c>
      <c r="I31" s="138"/>
      <c r="J31" s="138"/>
      <c r="K31" s="138"/>
      <c r="L31" s="138"/>
      <c r="M31" s="138"/>
      <c r="N31" s="138"/>
      <c r="O31" s="138"/>
      <c r="P31" s="138"/>
      <c r="Q31" s="138"/>
      <c r="R31" s="138"/>
      <c r="S31" s="138"/>
      <c r="T31" s="138"/>
      <c r="U31" s="138"/>
      <c r="V31" s="138"/>
      <c r="W31" s="138"/>
      <c r="X31" s="138"/>
      <c r="Y31" s="138"/>
      <c r="Z31" s="138"/>
    </row>
    <row r="32" spans="1:26" ht="14.25" customHeight="1">
      <c r="A32" s="1001" t="s">
        <v>3688</v>
      </c>
      <c r="B32" s="1001" t="s">
        <v>3438</v>
      </c>
      <c r="C32" s="1001" t="s">
        <v>267</v>
      </c>
      <c r="D32" s="1001" t="s">
        <v>3457</v>
      </c>
      <c r="E32" s="1003">
        <v>54236.5</v>
      </c>
      <c r="F32" s="999"/>
      <c r="G32" s="1001" t="s">
        <v>3689</v>
      </c>
      <c r="H32" s="1005">
        <v>48</v>
      </c>
      <c r="I32" s="138"/>
      <c r="J32" s="138"/>
      <c r="K32" s="138"/>
      <c r="L32" s="138"/>
      <c r="M32" s="138"/>
      <c r="N32" s="138"/>
      <c r="O32" s="138"/>
      <c r="P32" s="138"/>
      <c r="Q32" s="138"/>
      <c r="R32" s="138"/>
      <c r="S32" s="138"/>
      <c r="T32" s="138"/>
      <c r="U32" s="138"/>
      <c r="V32" s="138"/>
      <c r="W32" s="138"/>
      <c r="X32" s="138"/>
      <c r="Y32" s="138"/>
      <c r="Z32" s="138"/>
    </row>
    <row r="33" spans="1:26" ht="14.25" customHeight="1">
      <c r="A33" s="1001" t="s">
        <v>3578</v>
      </c>
      <c r="B33" s="1001" t="s">
        <v>3438</v>
      </c>
      <c r="C33" s="1001" t="s">
        <v>267</v>
      </c>
      <c r="D33" s="1001" t="s">
        <v>976</v>
      </c>
      <c r="E33" s="1003">
        <v>32864</v>
      </c>
      <c r="F33" s="1003">
        <v>-34706.699999999997</v>
      </c>
      <c r="G33" s="1001" t="s">
        <v>3563</v>
      </c>
      <c r="H33" s="1005">
        <v>48</v>
      </c>
      <c r="I33" s="138"/>
      <c r="J33" s="138"/>
      <c r="K33" s="138"/>
      <c r="L33" s="138"/>
      <c r="M33" s="138"/>
      <c r="N33" s="138"/>
      <c r="O33" s="138"/>
      <c r="P33" s="138"/>
      <c r="Q33" s="138"/>
      <c r="R33" s="138"/>
      <c r="S33" s="138"/>
      <c r="T33" s="138"/>
      <c r="U33" s="138"/>
      <c r="V33" s="138"/>
      <c r="W33" s="138"/>
      <c r="X33" s="138"/>
      <c r="Y33" s="138"/>
      <c r="Z33" s="138"/>
    </row>
    <row r="34" spans="1:26" ht="14.25" customHeight="1">
      <c r="A34" s="1001" t="s">
        <v>3566</v>
      </c>
      <c r="B34" s="1001" t="s">
        <v>3438</v>
      </c>
      <c r="C34" s="1001" t="s">
        <v>267</v>
      </c>
      <c r="D34" s="1001" t="s">
        <v>262</v>
      </c>
      <c r="E34" s="1003">
        <v>55259.97</v>
      </c>
      <c r="F34" s="1003">
        <v>-58109.1</v>
      </c>
      <c r="G34" s="1001" t="s">
        <v>3567</v>
      </c>
      <c r="H34" s="1005">
        <v>47</v>
      </c>
      <c r="I34" s="138"/>
      <c r="J34" s="138"/>
      <c r="K34" s="138"/>
      <c r="L34" s="138"/>
      <c r="M34" s="138"/>
      <c r="N34" s="138"/>
      <c r="O34" s="138"/>
      <c r="P34" s="138"/>
      <c r="Q34" s="138"/>
      <c r="R34" s="138"/>
      <c r="S34" s="138"/>
      <c r="T34" s="138"/>
      <c r="U34" s="138"/>
      <c r="V34" s="138"/>
      <c r="W34" s="138"/>
      <c r="X34" s="138"/>
      <c r="Y34" s="138"/>
      <c r="Z34" s="138"/>
    </row>
    <row r="35" spans="1:26" ht="14.25" customHeight="1">
      <c r="A35" s="1001" t="s">
        <v>3558</v>
      </c>
      <c r="B35" s="1001" t="s">
        <v>3438</v>
      </c>
      <c r="C35" s="1001" t="s">
        <v>267</v>
      </c>
      <c r="D35" s="1001" t="s">
        <v>3457</v>
      </c>
      <c r="E35" s="1003">
        <v>53794.97</v>
      </c>
      <c r="F35" s="1003">
        <v>-56570.85</v>
      </c>
      <c r="G35" s="1001" t="s">
        <v>3568</v>
      </c>
      <c r="H35" s="1005">
        <v>45</v>
      </c>
      <c r="I35" s="138"/>
      <c r="J35" s="138"/>
      <c r="K35" s="138"/>
      <c r="L35" s="138"/>
      <c r="M35" s="138"/>
      <c r="N35" s="138"/>
      <c r="O35" s="138"/>
      <c r="P35" s="138"/>
      <c r="Q35" s="138"/>
      <c r="R35" s="138"/>
      <c r="S35" s="138"/>
      <c r="T35" s="138"/>
      <c r="U35" s="138"/>
      <c r="V35" s="138"/>
      <c r="W35" s="138"/>
      <c r="X35" s="138"/>
      <c r="Y35" s="138"/>
      <c r="Z35" s="138"/>
    </row>
    <row r="36" spans="1:26" ht="14.25" customHeight="1">
      <c r="A36" s="1001" t="s">
        <v>3561</v>
      </c>
      <c r="B36" s="1001" t="s">
        <v>3438</v>
      </c>
      <c r="C36" s="1001" t="s">
        <v>267</v>
      </c>
      <c r="D36" s="1001" t="s">
        <v>265</v>
      </c>
      <c r="E36" s="1003">
        <v>28629</v>
      </c>
      <c r="F36" s="999"/>
      <c r="G36" s="1001" t="s">
        <v>3570</v>
      </c>
      <c r="H36" s="1005">
        <v>44</v>
      </c>
      <c r="I36" s="138"/>
      <c r="J36" s="138"/>
      <c r="K36" s="138"/>
      <c r="L36" s="138"/>
      <c r="M36" s="138"/>
      <c r="N36" s="138"/>
      <c r="O36" s="138"/>
      <c r="P36" s="138"/>
      <c r="Q36" s="138"/>
      <c r="R36" s="138"/>
      <c r="S36" s="138"/>
      <c r="T36" s="138"/>
      <c r="U36" s="138"/>
      <c r="V36" s="138"/>
      <c r="W36" s="138"/>
      <c r="X36" s="138"/>
      <c r="Y36" s="138"/>
      <c r="Z36" s="138"/>
    </row>
    <row r="37" spans="1:26" ht="14.25" customHeight="1">
      <c r="A37" s="1001" t="s">
        <v>3557</v>
      </c>
      <c r="B37" s="1001" t="s">
        <v>3438</v>
      </c>
      <c r="C37" s="1001" t="s">
        <v>267</v>
      </c>
      <c r="D37" s="1001" t="s">
        <v>262</v>
      </c>
      <c r="E37" s="1003">
        <v>54801.97</v>
      </c>
      <c r="F37" s="1003">
        <v>-57628.2</v>
      </c>
      <c r="G37" s="1001" t="s">
        <v>3573</v>
      </c>
      <c r="H37" s="1005">
        <v>41</v>
      </c>
      <c r="I37" s="138"/>
      <c r="J37" s="138"/>
      <c r="K37" s="138"/>
      <c r="L37" s="138"/>
      <c r="M37" s="138"/>
      <c r="N37" s="138"/>
      <c r="O37" s="138"/>
      <c r="P37" s="138"/>
      <c r="Q37" s="138"/>
      <c r="R37" s="138"/>
      <c r="S37" s="138"/>
      <c r="T37" s="138"/>
      <c r="U37" s="138"/>
      <c r="V37" s="138"/>
      <c r="W37" s="138"/>
      <c r="X37" s="138"/>
      <c r="Y37" s="138"/>
      <c r="Z37" s="138"/>
    </row>
    <row r="38" spans="1:26" ht="14.25" customHeight="1">
      <c r="A38" s="1001" t="s">
        <v>3571</v>
      </c>
      <c r="B38" s="1001" t="s">
        <v>3438</v>
      </c>
      <c r="C38" s="1001" t="s">
        <v>267</v>
      </c>
      <c r="D38" s="1001" t="s">
        <v>262</v>
      </c>
      <c r="E38" s="1003">
        <v>58249.97</v>
      </c>
      <c r="F38" s="999"/>
      <c r="G38" s="1001" t="s">
        <v>3575</v>
      </c>
      <c r="H38" s="1005">
        <v>38</v>
      </c>
      <c r="I38" s="138"/>
      <c r="J38" s="138"/>
      <c r="K38" s="138"/>
      <c r="L38" s="138"/>
      <c r="M38" s="138"/>
      <c r="N38" s="138"/>
      <c r="O38" s="138"/>
      <c r="P38" s="138"/>
      <c r="Q38" s="138"/>
      <c r="R38" s="138"/>
      <c r="S38" s="138"/>
      <c r="T38" s="138"/>
      <c r="U38" s="138"/>
      <c r="V38" s="138"/>
      <c r="W38" s="138"/>
      <c r="X38" s="138"/>
      <c r="Y38" s="138"/>
      <c r="Z38" s="138"/>
    </row>
    <row r="39" spans="1:26" ht="14.25" customHeight="1">
      <c r="A39" s="1001" t="s">
        <v>3554</v>
      </c>
      <c r="B39" s="1001" t="s">
        <v>3438</v>
      </c>
      <c r="C39" s="1001" t="s">
        <v>267</v>
      </c>
      <c r="D39" s="1001" t="s">
        <v>260</v>
      </c>
      <c r="E39" s="1003">
        <v>45175.95</v>
      </c>
      <c r="F39" s="1003">
        <v>-47526.15</v>
      </c>
      <c r="G39" s="1001" t="s">
        <v>3576</v>
      </c>
      <c r="H39" s="1005">
        <v>37</v>
      </c>
      <c r="I39" s="138"/>
      <c r="J39" s="138"/>
      <c r="K39" s="138"/>
      <c r="L39" s="138"/>
      <c r="M39" s="138"/>
      <c r="N39" s="138"/>
      <c r="O39" s="138"/>
      <c r="P39" s="138"/>
      <c r="Q39" s="138"/>
      <c r="R39" s="138"/>
      <c r="S39" s="138"/>
      <c r="T39" s="138"/>
      <c r="U39" s="138"/>
      <c r="V39" s="138"/>
      <c r="W39" s="138"/>
      <c r="X39" s="138"/>
      <c r="Y39" s="138"/>
      <c r="Z39" s="138"/>
    </row>
    <row r="40" spans="1:26" ht="14.25" customHeight="1">
      <c r="A40" s="1001" t="s">
        <v>3556</v>
      </c>
      <c r="B40" s="1001" t="s">
        <v>3438</v>
      </c>
      <c r="C40" s="1001" t="s">
        <v>267</v>
      </c>
      <c r="D40" s="1001" t="s">
        <v>260</v>
      </c>
      <c r="E40" s="1003">
        <v>44101</v>
      </c>
      <c r="F40" s="1003">
        <v>-46474.05</v>
      </c>
      <c r="G40" s="1001" t="s">
        <v>3577</v>
      </c>
      <c r="H40" s="1005">
        <v>34</v>
      </c>
      <c r="I40" s="138"/>
      <c r="J40" s="138"/>
      <c r="K40" s="138"/>
      <c r="L40" s="138"/>
      <c r="M40" s="138"/>
      <c r="N40" s="138"/>
      <c r="O40" s="138"/>
      <c r="P40" s="138"/>
      <c r="Q40" s="138"/>
      <c r="R40" s="138"/>
      <c r="S40" s="138"/>
      <c r="T40" s="138"/>
      <c r="U40" s="138"/>
      <c r="V40" s="138"/>
      <c r="W40" s="138"/>
      <c r="X40" s="138"/>
      <c r="Y40" s="138"/>
      <c r="Z40" s="138"/>
    </row>
    <row r="41" spans="1:26" ht="14.25" customHeight="1">
      <c r="A41" s="1001" t="s">
        <v>3569</v>
      </c>
      <c r="B41" s="1001" t="s">
        <v>3438</v>
      </c>
      <c r="C41" s="1001" t="s">
        <v>267</v>
      </c>
      <c r="D41" s="1001" t="s">
        <v>262</v>
      </c>
      <c r="E41" s="1003">
        <v>54806.97</v>
      </c>
      <c r="F41" s="1003">
        <v>-57628.2</v>
      </c>
      <c r="G41" s="1001" t="s">
        <v>3580</v>
      </c>
      <c r="H41" s="1005">
        <v>33</v>
      </c>
      <c r="I41" s="138"/>
      <c r="J41" s="138"/>
      <c r="K41" s="138"/>
      <c r="L41" s="138"/>
      <c r="M41" s="138"/>
      <c r="N41" s="138"/>
      <c r="O41" s="138"/>
      <c r="P41" s="138"/>
      <c r="Q41" s="138"/>
      <c r="R41" s="138"/>
      <c r="S41" s="138"/>
      <c r="T41" s="138"/>
      <c r="U41" s="138"/>
      <c r="V41" s="138"/>
      <c r="W41" s="138"/>
      <c r="X41" s="138"/>
      <c r="Y41" s="138"/>
      <c r="Z41" s="138"/>
    </row>
    <row r="42" spans="1:26" ht="14.25" customHeight="1">
      <c r="A42" s="1001" t="s">
        <v>3560</v>
      </c>
      <c r="B42" s="1001" t="s">
        <v>3438</v>
      </c>
      <c r="C42" s="1001" t="s">
        <v>267</v>
      </c>
      <c r="D42" s="1001" t="s">
        <v>976</v>
      </c>
      <c r="E42" s="1003">
        <v>38195</v>
      </c>
      <c r="F42" s="1003">
        <v>-40225.5</v>
      </c>
      <c r="G42" s="1001" t="s">
        <v>3579</v>
      </c>
      <c r="H42" s="1005">
        <v>33</v>
      </c>
      <c r="I42" s="138"/>
      <c r="J42" s="138"/>
      <c r="K42" s="138"/>
      <c r="L42" s="138"/>
      <c r="M42" s="138"/>
      <c r="N42" s="138"/>
      <c r="O42" s="138"/>
      <c r="P42" s="138"/>
      <c r="Q42" s="138"/>
      <c r="R42" s="138"/>
      <c r="S42" s="138"/>
      <c r="T42" s="138"/>
      <c r="U42" s="138"/>
      <c r="V42" s="138"/>
      <c r="W42" s="138"/>
      <c r="X42" s="138"/>
      <c r="Y42" s="138"/>
      <c r="Z42" s="138"/>
    </row>
    <row r="43" spans="1:26" ht="14.25" customHeight="1">
      <c r="A43" s="1001" t="s">
        <v>3690</v>
      </c>
      <c r="B43" s="1001" t="s">
        <v>3438</v>
      </c>
      <c r="C43" s="1001" t="s">
        <v>267</v>
      </c>
      <c r="D43" s="1001" t="s">
        <v>3457</v>
      </c>
      <c r="E43" s="1003">
        <v>56348.1</v>
      </c>
      <c r="F43" s="1003">
        <v>-58834.65</v>
      </c>
      <c r="G43" s="1001" t="s">
        <v>3691</v>
      </c>
      <c r="H43" s="1005">
        <v>30</v>
      </c>
      <c r="I43" s="138"/>
      <c r="J43" s="138"/>
      <c r="K43" s="138"/>
      <c r="L43" s="138"/>
      <c r="M43" s="138"/>
      <c r="N43" s="138"/>
      <c r="O43" s="138"/>
      <c r="P43" s="138"/>
      <c r="Q43" s="138"/>
      <c r="R43" s="138"/>
      <c r="S43" s="138"/>
      <c r="T43" s="138"/>
      <c r="U43" s="138"/>
      <c r="V43" s="138"/>
      <c r="W43" s="138"/>
      <c r="X43" s="138"/>
      <c r="Y43" s="138"/>
      <c r="Z43" s="138"/>
    </row>
    <row r="44" spans="1:26" ht="14.25" customHeight="1">
      <c r="A44" s="1001" t="s">
        <v>3692</v>
      </c>
      <c r="B44" s="1001" t="s">
        <v>3438</v>
      </c>
      <c r="C44" s="1001" t="s">
        <v>267</v>
      </c>
      <c r="D44" s="1001" t="s">
        <v>260</v>
      </c>
      <c r="E44" s="1003">
        <v>45762.95</v>
      </c>
      <c r="F44" s="999"/>
      <c r="G44" s="1001" t="s">
        <v>3693</v>
      </c>
      <c r="H44" s="1005">
        <v>30</v>
      </c>
      <c r="I44" s="138"/>
      <c r="J44" s="138"/>
      <c r="K44" s="138"/>
      <c r="L44" s="138"/>
      <c r="M44" s="138"/>
      <c r="N44" s="138"/>
      <c r="O44" s="138"/>
      <c r="P44" s="138"/>
      <c r="Q44" s="138"/>
      <c r="R44" s="138"/>
      <c r="S44" s="138"/>
      <c r="T44" s="138"/>
      <c r="U44" s="138"/>
      <c r="V44" s="138"/>
      <c r="W44" s="138"/>
      <c r="X44" s="138"/>
      <c r="Y44" s="138"/>
      <c r="Z44" s="138"/>
    </row>
    <row r="45" spans="1:26" ht="14.25" customHeight="1">
      <c r="A45" s="1001" t="s">
        <v>3694</v>
      </c>
      <c r="B45" s="1001" t="s">
        <v>3438</v>
      </c>
      <c r="C45" s="1001" t="s">
        <v>267</v>
      </c>
      <c r="D45" s="1001" t="s">
        <v>976</v>
      </c>
      <c r="E45" s="1003">
        <v>37908</v>
      </c>
      <c r="F45" s="1003">
        <v>-39749.85</v>
      </c>
      <c r="G45" s="1001" t="s">
        <v>3695</v>
      </c>
      <c r="H45" s="1005">
        <v>25</v>
      </c>
      <c r="I45" s="138"/>
      <c r="J45" s="138"/>
      <c r="K45" s="138"/>
      <c r="L45" s="138"/>
      <c r="M45" s="138"/>
      <c r="N45" s="138"/>
      <c r="O45" s="138"/>
      <c r="P45" s="138"/>
      <c r="Q45" s="138"/>
      <c r="R45" s="138"/>
      <c r="S45" s="138"/>
      <c r="T45" s="138"/>
      <c r="U45" s="138"/>
      <c r="V45" s="138"/>
      <c r="W45" s="138"/>
      <c r="X45" s="138"/>
      <c r="Y45" s="138"/>
      <c r="Z45" s="138"/>
    </row>
    <row r="46" spans="1:26" ht="14.25" customHeight="1">
      <c r="A46" s="1001" t="s">
        <v>3696</v>
      </c>
      <c r="B46" s="1001" t="s">
        <v>3438</v>
      </c>
      <c r="C46" s="1001" t="s">
        <v>267</v>
      </c>
      <c r="D46" s="1001" t="s">
        <v>976</v>
      </c>
      <c r="E46" s="1003">
        <v>32705</v>
      </c>
      <c r="F46" s="1003">
        <v>-34423.199999999997</v>
      </c>
      <c r="G46" s="1001" t="s">
        <v>3697</v>
      </c>
      <c r="H46" s="1005">
        <v>25</v>
      </c>
      <c r="I46" s="138"/>
      <c r="J46" s="138"/>
      <c r="K46" s="138"/>
      <c r="L46" s="138"/>
      <c r="M46" s="138"/>
      <c r="N46" s="138"/>
      <c r="O46" s="138"/>
      <c r="P46" s="138"/>
      <c r="Q46" s="138"/>
      <c r="R46" s="138"/>
      <c r="S46" s="138"/>
      <c r="T46" s="138"/>
      <c r="U46" s="138"/>
      <c r="V46" s="138"/>
      <c r="W46" s="138"/>
      <c r="X46" s="138"/>
      <c r="Y46" s="138"/>
      <c r="Z46" s="138"/>
    </row>
    <row r="47" spans="1:26" ht="14.25" customHeight="1">
      <c r="A47" s="1001" t="s">
        <v>3698</v>
      </c>
      <c r="B47" s="1001" t="s">
        <v>3438</v>
      </c>
      <c r="C47" s="1001" t="s">
        <v>267</v>
      </c>
      <c r="D47" s="1001" t="s">
        <v>976</v>
      </c>
      <c r="E47" s="1003">
        <v>32705</v>
      </c>
      <c r="F47" s="1003">
        <v>-34423.199999999997</v>
      </c>
      <c r="G47" s="1001" t="s">
        <v>3699</v>
      </c>
      <c r="H47" s="1005">
        <v>25</v>
      </c>
      <c r="I47" s="138"/>
      <c r="J47" s="138"/>
      <c r="K47" s="138"/>
      <c r="L47" s="138"/>
      <c r="M47" s="138"/>
      <c r="N47" s="138"/>
      <c r="O47" s="138"/>
      <c r="P47" s="138"/>
      <c r="Q47" s="138"/>
      <c r="R47" s="138"/>
      <c r="S47" s="138"/>
      <c r="T47" s="138"/>
      <c r="U47" s="138"/>
      <c r="V47" s="138"/>
      <c r="W47" s="138"/>
      <c r="X47" s="138"/>
      <c r="Y47" s="138"/>
      <c r="Z47" s="138"/>
    </row>
    <row r="48" spans="1:26" ht="14.25" customHeight="1">
      <c r="A48" s="1001" t="s">
        <v>3700</v>
      </c>
      <c r="B48" s="1001" t="s">
        <v>3438</v>
      </c>
      <c r="C48" s="1001" t="s">
        <v>267</v>
      </c>
      <c r="D48" s="1001" t="s">
        <v>976</v>
      </c>
      <c r="E48" s="1003">
        <v>32700</v>
      </c>
      <c r="F48" s="1003">
        <v>-34423.199999999997</v>
      </c>
      <c r="G48" s="1001" t="s">
        <v>3701</v>
      </c>
      <c r="H48" s="1005">
        <v>25</v>
      </c>
      <c r="I48" s="138"/>
      <c r="J48" s="138"/>
      <c r="K48" s="138"/>
      <c r="L48" s="138"/>
      <c r="M48" s="138"/>
      <c r="N48" s="138"/>
      <c r="O48" s="138"/>
      <c r="P48" s="138"/>
      <c r="Q48" s="138"/>
      <c r="R48" s="138"/>
      <c r="S48" s="138"/>
      <c r="T48" s="138"/>
      <c r="U48" s="138"/>
      <c r="V48" s="138"/>
      <c r="W48" s="138"/>
      <c r="X48" s="138"/>
      <c r="Y48" s="138"/>
      <c r="Z48" s="138"/>
    </row>
    <row r="49" spans="1:26" ht="14.25" customHeight="1">
      <c r="A49" s="1001" t="s">
        <v>3702</v>
      </c>
      <c r="B49" s="1001" t="s">
        <v>3438</v>
      </c>
      <c r="C49" s="1001" t="s">
        <v>267</v>
      </c>
      <c r="D49" s="1001" t="s">
        <v>976</v>
      </c>
      <c r="E49" s="1003">
        <v>35661.949999999997</v>
      </c>
      <c r="F49" s="999"/>
      <c r="G49" s="1001" t="s">
        <v>3703</v>
      </c>
      <c r="H49" s="1005">
        <v>20</v>
      </c>
      <c r="I49" s="138"/>
      <c r="J49" s="138"/>
      <c r="K49" s="138"/>
      <c r="L49" s="138"/>
      <c r="M49" s="138"/>
      <c r="N49" s="138"/>
      <c r="O49" s="138"/>
      <c r="P49" s="138"/>
      <c r="Q49" s="138"/>
      <c r="R49" s="138"/>
      <c r="S49" s="138"/>
      <c r="T49" s="138"/>
      <c r="U49" s="138"/>
      <c r="V49" s="138"/>
      <c r="W49" s="138"/>
      <c r="X49" s="138"/>
      <c r="Y49" s="138"/>
      <c r="Z49" s="138"/>
    </row>
    <row r="50" spans="1:26" ht="14.25" customHeight="1">
      <c r="A50" s="1001" t="s">
        <v>3704</v>
      </c>
      <c r="B50" s="1001" t="s">
        <v>3438</v>
      </c>
      <c r="C50" s="1001" t="s">
        <v>267</v>
      </c>
      <c r="D50" s="1001" t="s">
        <v>260</v>
      </c>
      <c r="E50" s="1003">
        <v>44107</v>
      </c>
      <c r="F50" s="1003">
        <v>-46474.05</v>
      </c>
      <c r="G50" s="1001" t="s">
        <v>3705</v>
      </c>
      <c r="H50" s="1005">
        <v>20</v>
      </c>
      <c r="I50" s="138"/>
      <c r="J50" s="138"/>
      <c r="K50" s="138"/>
      <c r="L50" s="138"/>
      <c r="M50" s="138"/>
      <c r="N50" s="138"/>
      <c r="O50" s="138"/>
      <c r="P50" s="138"/>
      <c r="Q50" s="138"/>
      <c r="R50" s="138"/>
      <c r="S50" s="138"/>
      <c r="T50" s="138"/>
      <c r="U50" s="138"/>
      <c r="V50" s="138"/>
      <c r="W50" s="138"/>
      <c r="X50" s="138"/>
      <c r="Y50" s="138"/>
      <c r="Z50" s="138"/>
    </row>
    <row r="51" spans="1:26" ht="14.25" customHeight="1">
      <c r="A51" s="1001" t="s">
        <v>3706</v>
      </c>
      <c r="B51" s="1001" t="s">
        <v>3438</v>
      </c>
      <c r="C51" s="1001" t="s">
        <v>267</v>
      </c>
      <c r="D51" s="1001" t="s">
        <v>976</v>
      </c>
      <c r="E51" s="1003">
        <v>37441.5</v>
      </c>
      <c r="F51" s="999"/>
      <c r="G51" s="1001" t="s">
        <v>3707</v>
      </c>
      <c r="H51" s="1005">
        <v>16</v>
      </c>
      <c r="I51" s="138"/>
      <c r="J51" s="138"/>
      <c r="K51" s="138"/>
      <c r="L51" s="138"/>
      <c r="M51" s="138"/>
      <c r="N51" s="138"/>
      <c r="O51" s="138"/>
      <c r="P51" s="138"/>
      <c r="Q51" s="138"/>
      <c r="R51" s="138"/>
      <c r="S51" s="138"/>
      <c r="T51" s="138"/>
      <c r="U51" s="138"/>
      <c r="V51" s="138"/>
      <c r="W51" s="138"/>
      <c r="X51" s="138"/>
      <c r="Y51" s="138"/>
      <c r="Z51" s="138"/>
    </row>
    <row r="52" spans="1:26" ht="14.25" customHeight="1">
      <c r="A52" s="1001" t="s">
        <v>3708</v>
      </c>
      <c r="B52" s="1001" t="s">
        <v>3438</v>
      </c>
      <c r="C52" s="1001" t="s">
        <v>267</v>
      </c>
      <c r="D52" s="1001" t="s">
        <v>279</v>
      </c>
      <c r="E52" s="1003">
        <v>38207</v>
      </c>
      <c r="F52" s="1003">
        <v>-40179.300000000003</v>
      </c>
      <c r="G52" s="1001" t="s">
        <v>3709</v>
      </c>
      <c r="H52" s="1005">
        <v>13</v>
      </c>
      <c r="I52" s="138"/>
      <c r="J52" s="138"/>
      <c r="K52" s="138"/>
      <c r="L52" s="138"/>
      <c r="M52" s="138"/>
      <c r="N52" s="138"/>
      <c r="O52" s="138"/>
      <c r="P52" s="138"/>
      <c r="Q52" s="138"/>
      <c r="R52" s="138"/>
      <c r="S52" s="138"/>
      <c r="T52" s="138"/>
      <c r="U52" s="138"/>
      <c r="V52" s="138"/>
      <c r="W52" s="138"/>
      <c r="X52" s="138"/>
      <c r="Y52" s="138"/>
      <c r="Z52" s="138"/>
    </row>
    <row r="53" spans="1:26" ht="14.25" customHeight="1">
      <c r="A53" s="1001" t="s">
        <v>3710</v>
      </c>
      <c r="B53" s="1001" t="s">
        <v>3438</v>
      </c>
      <c r="C53" s="1001" t="s">
        <v>267</v>
      </c>
      <c r="D53" s="1001" t="s">
        <v>976</v>
      </c>
      <c r="E53" s="1003">
        <v>37773</v>
      </c>
      <c r="F53" s="1003">
        <v>-39749.85</v>
      </c>
      <c r="G53" s="1001" t="s">
        <v>3711</v>
      </c>
      <c r="H53" s="1005">
        <v>13</v>
      </c>
      <c r="I53" s="138"/>
      <c r="J53" s="138"/>
      <c r="K53" s="138"/>
      <c r="L53" s="138"/>
      <c r="M53" s="138"/>
      <c r="N53" s="138"/>
      <c r="O53" s="138"/>
      <c r="P53" s="138"/>
      <c r="Q53" s="138"/>
      <c r="R53" s="138"/>
      <c r="S53" s="138"/>
      <c r="T53" s="138"/>
      <c r="U53" s="138"/>
      <c r="V53" s="138"/>
      <c r="W53" s="138"/>
      <c r="X53" s="138"/>
      <c r="Y53" s="138"/>
      <c r="Z53" s="138"/>
    </row>
    <row r="54" spans="1:26" ht="14.25" customHeight="1">
      <c r="A54" s="1001" t="s">
        <v>3712</v>
      </c>
      <c r="B54" s="1001" t="s">
        <v>3438</v>
      </c>
      <c r="C54" s="1001" t="s">
        <v>267</v>
      </c>
      <c r="D54" s="1001" t="s">
        <v>976</v>
      </c>
      <c r="E54" s="1003">
        <v>37109</v>
      </c>
      <c r="F54" s="1003">
        <v>-39552.449999999997</v>
      </c>
      <c r="G54" s="1001" t="s">
        <v>3713</v>
      </c>
      <c r="H54" s="1005">
        <v>13</v>
      </c>
      <c r="I54" s="138"/>
      <c r="J54" s="138"/>
      <c r="K54" s="138"/>
      <c r="L54" s="138"/>
      <c r="M54" s="138"/>
      <c r="N54" s="138"/>
      <c r="O54" s="138"/>
      <c r="P54" s="138"/>
      <c r="Q54" s="138"/>
      <c r="R54" s="138"/>
      <c r="S54" s="138"/>
      <c r="T54" s="138"/>
      <c r="U54" s="138"/>
      <c r="V54" s="138"/>
      <c r="W54" s="138"/>
      <c r="X54" s="138"/>
      <c r="Y54" s="138"/>
      <c r="Z54" s="138"/>
    </row>
    <row r="55" spans="1:26" ht="14.25" customHeight="1">
      <c r="A55" s="1001" t="s">
        <v>3714</v>
      </c>
      <c r="B55" s="1001" t="s">
        <v>3438</v>
      </c>
      <c r="C55" s="1001" t="s">
        <v>267</v>
      </c>
      <c r="D55" s="1001" t="s">
        <v>976</v>
      </c>
      <c r="E55" s="1003">
        <v>34270</v>
      </c>
      <c r="F55" s="1003">
        <v>-36066.449999999997</v>
      </c>
      <c r="G55" s="1001" t="s">
        <v>3715</v>
      </c>
      <c r="H55" s="1005">
        <v>13</v>
      </c>
      <c r="I55" s="138"/>
      <c r="J55" s="138"/>
      <c r="K55" s="138"/>
      <c r="L55" s="138"/>
      <c r="M55" s="138"/>
      <c r="N55" s="138"/>
      <c r="O55" s="138"/>
      <c r="P55" s="138"/>
      <c r="Q55" s="138"/>
      <c r="R55" s="138"/>
      <c r="S55" s="138"/>
      <c r="T55" s="138"/>
      <c r="U55" s="138"/>
      <c r="V55" s="138"/>
      <c r="W55" s="138"/>
      <c r="X55" s="138"/>
      <c r="Y55" s="138"/>
      <c r="Z55" s="138"/>
    </row>
    <row r="56" spans="1:26" ht="14.25" customHeight="1">
      <c r="A56" s="1001" t="s">
        <v>3716</v>
      </c>
      <c r="B56" s="1001" t="s">
        <v>3438</v>
      </c>
      <c r="C56" s="1001" t="s">
        <v>267</v>
      </c>
      <c r="D56" s="1001" t="s">
        <v>279</v>
      </c>
      <c r="E56" s="1003">
        <v>39384</v>
      </c>
      <c r="F56" s="1003">
        <v>-41836.199999999997</v>
      </c>
      <c r="G56" s="1001" t="s">
        <v>3717</v>
      </c>
      <c r="H56" s="1005">
        <v>12</v>
      </c>
      <c r="I56" s="138"/>
      <c r="J56" s="138"/>
      <c r="K56" s="138"/>
      <c r="L56" s="138"/>
      <c r="M56" s="138"/>
      <c r="N56" s="138"/>
      <c r="O56" s="138"/>
      <c r="P56" s="138"/>
      <c r="Q56" s="138"/>
      <c r="R56" s="138"/>
      <c r="S56" s="138"/>
      <c r="T56" s="138"/>
      <c r="U56" s="138"/>
      <c r="V56" s="138"/>
      <c r="W56" s="138"/>
      <c r="X56" s="138"/>
      <c r="Y56" s="138"/>
      <c r="Z56" s="138"/>
    </row>
    <row r="57" spans="1:26" ht="14.25" customHeight="1">
      <c r="A57" s="1001" t="s">
        <v>3718</v>
      </c>
      <c r="B57" s="1001" t="s">
        <v>3438</v>
      </c>
      <c r="C57" s="1001" t="s">
        <v>267</v>
      </c>
      <c r="D57" s="1001" t="s">
        <v>3572</v>
      </c>
      <c r="E57" s="1003">
        <v>49697</v>
      </c>
      <c r="F57" s="1003">
        <v>-52243.8</v>
      </c>
      <c r="G57" s="1001" t="s">
        <v>3719</v>
      </c>
      <c r="H57" s="1005">
        <v>12</v>
      </c>
      <c r="I57" s="138"/>
      <c r="J57" s="138"/>
      <c r="K57" s="138"/>
      <c r="L57" s="138"/>
      <c r="M57" s="138"/>
      <c r="N57" s="138"/>
      <c r="O57" s="138"/>
      <c r="P57" s="138"/>
      <c r="Q57" s="138"/>
      <c r="R57" s="138"/>
      <c r="S57" s="138"/>
      <c r="T57" s="138"/>
      <c r="U57" s="138"/>
      <c r="V57" s="138"/>
      <c r="W57" s="138"/>
      <c r="X57" s="138"/>
      <c r="Y57" s="138"/>
      <c r="Z57" s="138"/>
    </row>
    <row r="58" spans="1:26" ht="14.25" customHeight="1">
      <c r="A58" s="1001" t="s">
        <v>3720</v>
      </c>
      <c r="B58" s="1001" t="s">
        <v>3438</v>
      </c>
      <c r="C58" s="1001" t="s">
        <v>267</v>
      </c>
      <c r="D58" s="1001" t="s">
        <v>3572</v>
      </c>
      <c r="E58" s="1003">
        <v>49697</v>
      </c>
      <c r="F58" s="1003">
        <v>-52243.8</v>
      </c>
      <c r="G58" s="1001" t="s">
        <v>3721</v>
      </c>
      <c r="H58" s="1005">
        <v>12</v>
      </c>
      <c r="I58" s="138"/>
      <c r="J58" s="138"/>
      <c r="K58" s="138"/>
      <c r="L58" s="138"/>
      <c r="M58" s="138"/>
      <c r="N58" s="138"/>
      <c r="O58" s="138"/>
      <c r="P58" s="138"/>
      <c r="Q58" s="138"/>
      <c r="R58" s="138"/>
      <c r="S58" s="138"/>
      <c r="T58" s="138"/>
      <c r="U58" s="138"/>
      <c r="V58" s="138"/>
      <c r="W58" s="138"/>
      <c r="X58" s="138"/>
      <c r="Y58" s="138"/>
      <c r="Z58" s="138"/>
    </row>
    <row r="59" spans="1:26" ht="14.25" customHeight="1">
      <c r="A59" s="1001" t="s">
        <v>3722</v>
      </c>
      <c r="B59" s="1001" t="s">
        <v>3438</v>
      </c>
      <c r="C59" s="1001" t="s">
        <v>267</v>
      </c>
      <c r="D59" s="1001" t="s">
        <v>976</v>
      </c>
      <c r="E59" s="1003">
        <v>35568</v>
      </c>
      <c r="F59" s="1003">
        <v>-37434.6</v>
      </c>
      <c r="G59" s="1001" t="s">
        <v>3723</v>
      </c>
      <c r="H59" s="1005">
        <v>12</v>
      </c>
      <c r="I59" s="138"/>
      <c r="J59" s="138"/>
      <c r="K59" s="138"/>
      <c r="L59" s="138"/>
      <c r="M59" s="138"/>
      <c r="N59" s="138"/>
      <c r="O59" s="138"/>
      <c r="P59" s="138"/>
      <c r="Q59" s="138"/>
      <c r="R59" s="138"/>
      <c r="S59" s="138"/>
      <c r="T59" s="138"/>
      <c r="U59" s="138"/>
      <c r="V59" s="138"/>
      <c r="W59" s="138"/>
      <c r="X59" s="138"/>
      <c r="Y59" s="138"/>
      <c r="Z59" s="138"/>
    </row>
    <row r="60" spans="1:26" ht="14.25" customHeight="1">
      <c r="A60" s="1001" t="s">
        <v>3724</v>
      </c>
      <c r="B60" s="1001" t="s">
        <v>3438</v>
      </c>
      <c r="C60" s="1001" t="s">
        <v>267</v>
      </c>
      <c r="D60" s="1001" t="s">
        <v>976</v>
      </c>
      <c r="E60" s="1003">
        <v>34265</v>
      </c>
      <c r="F60" s="1003">
        <v>-36066.449999999997</v>
      </c>
      <c r="G60" s="1001" t="s">
        <v>3725</v>
      </c>
      <c r="H60" s="1005">
        <v>12</v>
      </c>
      <c r="I60" s="138"/>
      <c r="J60" s="138"/>
      <c r="K60" s="138"/>
      <c r="L60" s="138"/>
      <c r="M60" s="138"/>
      <c r="N60" s="138"/>
      <c r="O60" s="138"/>
      <c r="P60" s="138"/>
      <c r="Q60" s="138"/>
      <c r="R60" s="138"/>
      <c r="S60" s="138"/>
      <c r="T60" s="138"/>
      <c r="U60" s="138"/>
      <c r="V60" s="138"/>
      <c r="W60" s="138"/>
      <c r="X60" s="138"/>
      <c r="Y60" s="138"/>
      <c r="Z60" s="138"/>
    </row>
    <row r="61" spans="1:26" ht="14.25" customHeight="1">
      <c r="A61" s="1001" t="s">
        <v>3726</v>
      </c>
      <c r="B61" s="1001" t="s">
        <v>3438</v>
      </c>
      <c r="C61" s="1001" t="s">
        <v>267</v>
      </c>
      <c r="D61" s="1001" t="s">
        <v>976</v>
      </c>
      <c r="E61" s="1003">
        <v>28211</v>
      </c>
      <c r="F61" s="999"/>
      <c r="G61" s="1001" t="s">
        <v>3727</v>
      </c>
      <c r="H61" s="1005">
        <v>12</v>
      </c>
      <c r="I61" s="138"/>
      <c r="J61" s="138"/>
      <c r="K61" s="138"/>
      <c r="L61" s="138"/>
      <c r="M61" s="138"/>
      <c r="N61" s="138"/>
      <c r="O61" s="138"/>
      <c r="P61" s="138"/>
      <c r="Q61" s="138"/>
      <c r="R61" s="138"/>
      <c r="S61" s="138"/>
      <c r="T61" s="138"/>
      <c r="U61" s="138"/>
      <c r="V61" s="138"/>
      <c r="W61" s="138"/>
      <c r="X61" s="138"/>
      <c r="Y61" s="138"/>
      <c r="Z61" s="138"/>
    </row>
    <row r="62" spans="1:26" ht="14.25" customHeight="1">
      <c r="A62" s="1001" t="s">
        <v>3728</v>
      </c>
      <c r="B62" s="1001" t="s">
        <v>3438</v>
      </c>
      <c r="C62" s="1001" t="s">
        <v>267</v>
      </c>
      <c r="D62" s="1001" t="s">
        <v>260</v>
      </c>
      <c r="E62" s="1003">
        <v>47482.92</v>
      </c>
      <c r="F62" s="1003">
        <v>-47526.15</v>
      </c>
      <c r="G62" s="1001" t="s">
        <v>3729</v>
      </c>
      <c r="H62" s="1005">
        <v>12</v>
      </c>
      <c r="I62" s="138"/>
      <c r="J62" s="138"/>
      <c r="K62" s="138"/>
      <c r="L62" s="138"/>
      <c r="M62" s="138"/>
      <c r="N62" s="138"/>
      <c r="O62" s="138"/>
      <c r="P62" s="138"/>
      <c r="Q62" s="138"/>
      <c r="R62" s="138"/>
      <c r="S62" s="138"/>
      <c r="T62" s="138"/>
      <c r="U62" s="138"/>
      <c r="V62" s="138"/>
      <c r="W62" s="138"/>
      <c r="X62" s="138"/>
      <c r="Y62" s="138"/>
      <c r="Z62" s="138"/>
    </row>
    <row r="63" spans="1:26" ht="14.25" customHeight="1">
      <c r="A63" s="1001" t="s">
        <v>3730</v>
      </c>
      <c r="B63" s="1001" t="s">
        <v>3438</v>
      </c>
      <c r="C63" s="1001" t="s">
        <v>267</v>
      </c>
      <c r="D63" s="1001" t="s">
        <v>260</v>
      </c>
      <c r="E63" s="1003">
        <v>40734</v>
      </c>
      <c r="F63" s="1003">
        <v>-43358.7</v>
      </c>
      <c r="G63" s="1001" t="s">
        <v>3731</v>
      </c>
      <c r="H63" s="1005">
        <v>9</v>
      </c>
      <c r="I63" s="138"/>
      <c r="J63" s="138"/>
      <c r="K63" s="138"/>
      <c r="L63" s="138"/>
      <c r="M63" s="138"/>
      <c r="N63" s="138"/>
      <c r="O63" s="138"/>
      <c r="P63" s="138"/>
      <c r="Q63" s="138"/>
      <c r="R63" s="138"/>
      <c r="S63" s="138"/>
      <c r="T63" s="138"/>
      <c r="U63" s="138"/>
      <c r="V63" s="138"/>
      <c r="W63" s="138"/>
      <c r="X63" s="138"/>
      <c r="Y63" s="138"/>
      <c r="Z63" s="138"/>
    </row>
    <row r="64" spans="1:26" ht="14.25" customHeight="1">
      <c r="A64" s="1001" t="s">
        <v>3732</v>
      </c>
      <c r="B64" s="1001" t="s">
        <v>3438</v>
      </c>
      <c r="C64" s="1001" t="s">
        <v>267</v>
      </c>
      <c r="D64" s="1001" t="s">
        <v>279</v>
      </c>
      <c r="E64" s="1003">
        <v>37806</v>
      </c>
      <c r="F64" s="1003">
        <v>-40179.300000000003</v>
      </c>
      <c r="G64" s="1001" t="s">
        <v>3733</v>
      </c>
      <c r="H64" s="1005">
        <v>3</v>
      </c>
      <c r="I64" s="138"/>
      <c r="J64" s="138"/>
      <c r="K64" s="138"/>
      <c r="L64" s="138"/>
      <c r="M64" s="138"/>
      <c r="N64" s="138"/>
      <c r="O64" s="138"/>
      <c r="P64" s="138"/>
      <c r="Q64" s="138"/>
      <c r="R64" s="138"/>
      <c r="S64" s="138"/>
      <c r="T64" s="138"/>
      <c r="U64" s="138"/>
      <c r="V64" s="138"/>
      <c r="W64" s="138"/>
      <c r="X64" s="138"/>
      <c r="Y64" s="138"/>
      <c r="Z64" s="138"/>
    </row>
    <row r="65" spans="1:26" ht="14.25" customHeight="1">
      <c r="A65" s="1001" t="s">
        <v>3734</v>
      </c>
      <c r="B65" s="1001" t="s">
        <v>3438</v>
      </c>
      <c r="C65" s="1001" t="s">
        <v>267</v>
      </c>
      <c r="D65" s="1001" t="s">
        <v>260</v>
      </c>
      <c r="E65" s="1003">
        <v>44886</v>
      </c>
      <c r="F65" s="1003">
        <v>-47718.3</v>
      </c>
      <c r="G65" s="1001" t="s">
        <v>3735</v>
      </c>
      <c r="H65" s="1005">
        <v>3</v>
      </c>
      <c r="I65" s="138"/>
      <c r="J65" s="138"/>
      <c r="K65" s="138"/>
      <c r="L65" s="138"/>
      <c r="M65" s="138"/>
      <c r="N65" s="138"/>
      <c r="O65" s="138"/>
      <c r="P65" s="138"/>
      <c r="Q65" s="138"/>
      <c r="R65" s="138"/>
      <c r="S65" s="138"/>
      <c r="T65" s="138"/>
      <c r="U65" s="138"/>
      <c r="V65" s="138"/>
      <c r="W65" s="138"/>
      <c r="X65" s="138"/>
      <c r="Y65" s="138"/>
      <c r="Z65" s="138"/>
    </row>
    <row r="66" spans="1:26" ht="14.25" customHeight="1">
      <c r="A66" s="1001" t="s">
        <v>3736</v>
      </c>
      <c r="B66" s="1001" t="s">
        <v>3438</v>
      </c>
      <c r="C66" s="1001" t="s">
        <v>267</v>
      </c>
      <c r="D66" s="1001" t="s">
        <v>260</v>
      </c>
      <c r="E66" s="1003">
        <v>44154</v>
      </c>
      <c r="F66" s="1003">
        <v>-46949.7</v>
      </c>
      <c r="G66" s="1001" t="s">
        <v>3737</v>
      </c>
      <c r="H66" s="1005">
        <v>3</v>
      </c>
      <c r="I66" s="138"/>
      <c r="J66" s="138"/>
      <c r="K66" s="138"/>
      <c r="L66" s="138"/>
      <c r="M66" s="138"/>
      <c r="N66" s="138"/>
      <c r="O66" s="138"/>
      <c r="P66" s="138"/>
      <c r="Q66" s="138"/>
      <c r="R66" s="138"/>
      <c r="S66" s="138"/>
      <c r="T66" s="138"/>
      <c r="U66" s="138"/>
      <c r="V66" s="138"/>
      <c r="W66" s="138"/>
      <c r="X66" s="138"/>
      <c r="Y66" s="138"/>
      <c r="Z66" s="138"/>
    </row>
    <row r="67" spans="1:26" ht="14.25" customHeight="1">
      <c r="A67" s="1001" t="s">
        <v>3738</v>
      </c>
      <c r="B67" s="1001" t="s">
        <v>3438</v>
      </c>
      <c r="C67" s="1001" t="s">
        <v>267</v>
      </c>
      <c r="D67" s="1001" t="s">
        <v>260</v>
      </c>
      <c r="E67" s="1003">
        <v>44154</v>
      </c>
      <c r="F67" s="1003">
        <v>-46949.7</v>
      </c>
      <c r="G67" s="1001" t="s">
        <v>3739</v>
      </c>
      <c r="H67" s="1005">
        <v>3</v>
      </c>
      <c r="I67" s="138"/>
      <c r="J67" s="138"/>
      <c r="K67" s="138"/>
      <c r="L67" s="138"/>
      <c r="M67" s="138"/>
      <c r="N67" s="138"/>
      <c r="O67" s="138"/>
      <c r="P67" s="138"/>
      <c r="Q67" s="138"/>
      <c r="R67" s="138"/>
      <c r="S67" s="138"/>
      <c r="T67" s="138"/>
      <c r="U67" s="138"/>
      <c r="V67" s="138"/>
      <c r="W67" s="138"/>
      <c r="X67" s="138"/>
      <c r="Y67" s="138"/>
      <c r="Z67" s="138"/>
    </row>
    <row r="68" spans="1:26" ht="14.25" customHeight="1">
      <c r="A68" s="1001" t="s">
        <v>3740</v>
      </c>
      <c r="B68" s="1001" t="s">
        <v>3438</v>
      </c>
      <c r="C68" s="1001" t="s">
        <v>267</v>
      </c>
      <c r="D68" s="1001" t="s">
        <v>260</v>
      </c>
      <c r="E68" s="1003">
        <v>43701</v>
      </c>
      <c r="F68" s="1003">
        <v>-46474.05</v>
      </c>
      <c r="G68" s="1001" t="s">
        <v>3741</v>
      </c>
      <c r="H68" s="1005">
        <v>3</v>
      </c>
      <c r="I68" s="138"/>
      <c r="J68" s="138"/>
      <c r="K68" s="138"/>
      <c r="L68" s="138"/>
      <c r="M68" s="138"/>
      <c r="N68" s="138"/>
      <c r="O68" s="138"/>
      <c r="P68" s="138"/>
      <c r="Q68" s="138"/>
      <c r="R68" s="138"/>
      <c r="S68" s="138"/>
      <c r="T68" s="138"/>
      <c r="U68" s="138"/>
      <c r="V68" s="138"/>
      <c r="W68" s="138"/>
      <c r="X68" s="138"/>
      <c r="Y68" s="138"/>
      <c r="Z68" s="138"/>
    </row>
    <row r="69" spans="1:26" ht="14.25" customHeight="1">
      <c r="A69" s="1001" t="s">
        <v>3742</v>
      </c>
      <c r="B69" s="1001" t="s">
        <v>3438</v>
      </c>
      <c r="C69" s="1001" t="s">
        <v>267</v>
      </c>
      <c r="D69" s="1001" t="s">
        <v>260</v>
      </c>
      <c r="E69" s="1003">
        <v>43701</v>
      </c>
      <c r="F69" s="1003">
        <v>-46474.05</v>
      </c>
      <c r="G69" s="1001" t="s">
        <v>3743</v>
      </c>
      <c r="H69" s="1005">
        <v>3</v>
      </c>
      <c r="I69" s="138"/>
      <c r="J69" s="138"/>
      <c r="K69" s="138"/>
      <c r="L69" s="138"/>
      <c r="M69" s="138"/>
      <c r="N69" s="138"/>
      <c r="O69" s="138"/>
      <c r="P69" s="138"/>
      <c r="Q69" s="138"/>
      <c r="R69" s="138"/>
      <c r="S69" s="138"/>
      <c r="T69" s="138"/>
      <c r="U69" s="138"/>
      <c r="V69" s="138"/>
      <c r="W69" s="138"/>
      <c r="X69" s="138"/>
      <c r="Y69" s="138"/>
      <c r="Z69" s="138"/>
    </row>
    <row r="70" spans="1:26" ht="14.25" customHeight="1">
      <c r="A70" s="1001" t="s">
        <v>3744</v>
      </c>
      <c r="B70" s="1001" t="s">
        <v>3438</v>
      </c>
      <c r="C70" s="1001" t="s">
        <v>267</v>
      </c>
      <c r="D70" s="1001" t="s">
        <v>260</v>
      </c>
      <c r="E70" s="1003">
        <v>40734</v>
      </c>
      <c r="F70" s="1003">
        <v>-43358.7</v>
      </c>
      <c r="G70" s="1001" t="s">
        <v>3745</v>
      </c>
      <c r="H70" s="1005">
        <v>3</v>
      </c>
      <c r="I70" s="138"/>
      <c r="J70" s="138"/>
      <c r="K70" s="138"/>
      <c r="L70" s="138"/>
      <c r="M70" s="138"/>
      <c r="N70" s="138"/>
      <c r="O70" s="138"/>
      <c r="P70" s="138"/>
      <c r="Q70" s="138"/>
      <c r="R70" s="138"/>
      <c r="S70" s="138"/>
      <c r="T70" s="138"/>
      <c r="U70" s="138"/>
      <c r="V70" s="138"/>
      <c r="W70" s="138"/>
      <c r="X70" s="138"/>
      <c r="Y70" s="138"/>
      <c r="Z70" s="138"/>
    </row>
    <row r="71" spans="1:26" ht="14.25" customHeight="1">
      <c r="A71" s="1001" t="s">
        <v>3746</v>
      </c>
      <c r="B71" s="1001" t="s">
        <v>3438</v>
      </c>
      <c r="C71" s="1001" t="s">
        <v>267</v>
      </c>
      <c r="D71" s="1001" t="s">
        <v>260</v>
      </c>
      <c r="E71" s="1003">
        <v>39069</v>
      </c>
      <c r="F71" s="1003">
        <v>-41610.449999999997</v>
      </c>
      <c r="G71" s="1001" t="s">
        <v>3747</v>
      </c>
      <c r="H71" s="1005">
        <v>3</v>
      </c>
      <c r="I71" s="138"/>
      <c r="J71" s="138"/>
      <c r="K71" s="138"/>
      <c r="L71" s="138"/>
      <c r="M71" s="138"/>
      <c r="N71" s="138"/>
      <c r="O71" s="138"/>
      <c r="P71" s="138"/>
      <c r="Q71" s="138"/>
      <c r="R71" s="138"/>
      <c r="S71" s="138"/>
      <c r="T71" s="138"/>
      <c r="U71" s="138"/>
      <c r="V71" s="138"/>
      <c r="W71" s="138"/>
      <c r="X71" s="138"/>
      <c r="Y71" s="138"/>
      <c r="Z71" s="138"/>
    </row>
    <row r="72" spans="1:26" ht="14.25" customHeight="1">
      <c r="A72" s="1001" t="s">
        <v>3748</v>
      </c>
      <c r="B72" s="1001" t="s">
        <v>3438</v>
      </c>
      <c r="C72" s="1001" t="s">
        <v>267</v>
      </c>
      <c r="D72" s="1001" t="s">
        <v>260</v>
      </c>
      <c r="E72" s="1003">
        <v>44154</v>
      </c>
      <c r="F72" s="1003">
        <v>-46949.7</v>
      </c>
      <c r="G72" s="1001" t="s">
        <v>3749</v>
      </c>
      <c r="H72" s="1005">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J86" sqref="J86"/>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95" t="str">
        <f>Parametres!$B$1&amp;" "&amp;"2 pager"&amp;" "&amp;Parametres!$B$3&amp;" "&amp;Parametres!$B$4</f>
        <v>Volks 2 pager Février 2026</v>
      </c>
      <c r="C1" s="1296"/>
      <c r="D1" s="1296"/>
      <c r="E1" s="1296"/>
      <c r="F1" s="1296"/>
      <c r="G1" s="1296"/>
      <c r="H1" s="1296"/>
      <c r="I1" s="1296"/>
      <c r="J1" s="129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42</v>
      </c>
      <c r="D4" s="160">
        <f>+Print_Mois!$D$13+Print_Mois!$D$15</f>
        <v>51</v>
      </c>
      <c r="E4" s="160">
        <f>+Print_Mois!$O$13+Print_Mois!$O$15</f>
        <v>32</v>
      </c>
      <c r="F4" s="161">
        <f t="shared" ref="F4:F15" si="0">+IFERROR($C4-D4,"")</f>
        <v>-9</v>
      </c>
      <c r="G4" s="162">
        <f t="shared" ref="G4:G15" si="1">+IFERROR($C4-E4,"")</f>
        <v>10</v>
      </c>
      <c r="H4" s="163">
        <f t="shared" ref="H4:H15" si="2">+IFERROR(F4/ABS($D4),"")</f>
        <v>-0.17647058823529413</v>
      </c>
      <c r="I4" s="164">
        <f t="shared" ref="I4:I15" si="3">+IFERROR(G4/ABS($E4),"")</f>
        <v>0.3125</v>
      </c>
      <c r="J4" s="1292" t="s">
        <v>3919</v>
      </c>
      <c r="K4" s="3"/>
      <c r="L4" s="3"/>
      <c r="M4" s="3"/>
      <c r="N4" s="3"/>
      <c r="O4" s="3"/>
      <c r="P4" s="3"/>
      <c r="Q4" s="3"/>
      <c r="R4" s="3"/>
      <c r="S4" s="3"/>
      <c r="T4" s="3"/>
      <c r="U4" s="3"/>
      <c r="V4" s="3"/>
      <c r="W4" s="3"/>
    </row>
    <row r="5" spans="1:23">
      <c r="A5" s="3"/>
      <c r="B5" s="165" t="s">
        <v>291</v>
      </c>
      <c r="C5" s="166">
        <f>+Print_Mois!$L$13+Print_Mois!$L$15</f>
        <v>82744.919999999795</v>
      </c>
      <c r="D5" s="166">
        <f>+Print_Mois!$F$13+Print_Mois!$F$15</f>
        <v>114999.34028161281</v>
      </c>
      <c r="E5" s="166">
        <f>+Print_Mois!$Q$13+Print_Mois!$Q$15</f>
        <v>75408.70999999989</v>
      </c>
      <c r="F5" s="167">
        <f t="shared" si="0"/>
        <v>-32254.420281613013</v>
      </c>
      <c r="G5" s="168">
        <f t="shared" si="1"/>
        <v>7336.2099999999045</v>
      </c>
      <c r="H5" s="170">
        <f t="shared" si="2"/>
        <v>-0.28047482883491076</v>
      </c>
      <c r="I5" s="171">
        <f t="shared" si="3"/>
        <v>9.7285976646463185E-2</v>
      </c>
      <c r="J5" s="1293"/>
      <c r="K5" s="3"/>
      <c r="L5" s="3"/>
      <c r="M5" s="3"/>
      <c r="N5" s="3"/>
      <c r="O5" s="3"/>
      <c r="P5" s="3"/>
      <c r="Q5" s="3"/>
      <c r="R5" s="3"/>
      <c r="S5" s="3"/>
      <c r="T5" s="3"/>
      <c r="U5" s="3"/>
      <c r="V5" s="3"/>
      <c r="W5" s="3"/>
    </row>
    <row r="6" spans="1:23">
      <c r="A6" s="3"/>
      <c r="B6" s="165" t="s">
        <v>292</v>
      </c>
      <c r="C6" s="166">
        <f t="shared" ref="C6:E6" si="4">+C5/C4</f>
        <v>1970.1171428571379</v>
      </c>
      <c r="D6" s="166">
        <f t="shared" si="4"/>
        <v>2254.889025129663</v>
      </c>
      <c r="E6" s="166">
        <f t="shared" si="4"/>
        <v>2356.5221874999966</v>
      </c>
      <c r="F6" s="167">
        <f t="shared" si="0"/>
        <v>-284.77188227252509</v>
      </c>
      <c r="G6" s="168">
        <f t="shared" si="1"/>
        <v>-386.40504464285868</v>
      </c>
      <c r="H6" s="170">
        <f t="shared" si="2"/>
        <v>-0.12629086358524888</v>
      </c>
      <c r="I6" s="171">
        <f t="shared" si="3"/>
        <v>-0.16397258922174238</v>
      </c>
      <c r="J6" s="1293"/>
      <c r="K6" s="3"/>
      <c r="L6" s="3"/>
      <c r="M6" s="3"/>
      <c r="N6" s="3"/>
      <c r="O6" s="3"/>
      <c r="P6" s="3"/>
      <c r="Q6" s="3"/>
      <c r="R6" s="3"/>
      <c r="S6" s="3"/>
      <c r="T6" s="3"/>
      <c r="U6" s="3"/>
      <c r="V6" s="3"/>
      <c r="W6" s="3"/>
    </row>
    <row r="7" spans="1:23">
      <c r="A7" s="3"/>
      <c r="B7" s="165" t="s">
        <v>293</v>
      </c>
      <c r="C7" s="166">
        <f>+Print_Mois!$L$31</f>
        <v>39939.440000000002</v>
      </c>
      <c r="D7" s="166">
        <f>+Print_Mois!$F$31</f>
        <v>37854.561816435467</v>
      </c>
      <c r="E7" s="166">
        <f>+Print_Mois!$Q$31</f>
        <v>27089.919999999998</v>
      </c>
      <c r="F7" s="167">
        <f t="shared" si="0"/>
        <v>2084.878183564535</v>
      </c>
      <c r="G7" s="168">
        <f t="shared" si="1"/>
        <v>12849.520000000004</v>
      </c>
      <c r="H7" s="170">
        <f t="shared" si="2"/>
        <v>5.5076008901504048E-2</v>
      </c>
      <c r="I7" s="171">
        <f t="shared" si="3"/>
        <v>0.47432845870345891</v>
      </c>
      <c r="J7" s="1293"/>
      <c r="K7" s="3"/>
      <c r="L7" s="3"/>
      <c r="M7" s="3"/>
      <c r="N7" s="3"/>
      <c r="O7" s="3"/>
      <c r="P7" s="3"/>
      <c r="Q7" s="3"/>
      <c r="R7" s="3"/>
      <c r="S7" s="3"/>
      <c r="T7" s="3"/>
      <c r="U7" s="3"/>
      <c r="V7" s="3"/>
      <c r="W7" s="3"/>
    </row>
    <row r="8" spans="1:23">
      <c r="A8" s="3"/>
      <c r="B8" s="165" t="s">
        <v>294</v>
      </c>
      <c r="C8" s="169">
        <f t="shared" ref="C8:E8" si="5">+C7/C5</f>
        <v>0.48268147458478539</v>
      </c>
      <c r="D8" s="169">
        <f t="shared" si="5"/>
        <v>0.32917199110652651</v>
      </c>
      <c r="E8" s="169">
        <f t="shared" si="5"/>
        <v>0.35924126006133822</v>
      </c>
      <c r="F8" s="172">
        <f t="shared" si="0"/>
        <v>0.15350948347825888</v>
      </c>
      <c r="G8" s="173">
        <f t="shared" si="1"/>
        <v>0.12344021452344717</v>
      </c>
      <c r="H8" s="170">
        <f t="shared" si="2"/>
        <v>0.4663503810340297</v>
      </c>
      <c r="I8" s="171">
        <f t="shared" si="3"/>
        <v>0.34361368875716147</v>
      </c>
      <c r="J8" s="1293"/>
      <c r="K8" s="3"/>
      <c r="L8" s="3"/>
      <c r="M8" s="3"/>
      <c r="N8" s="3"/>
      <c r="O8" s="3"/>
      <c r="P8" s="3"/>
      <c r="Q8" s="3"/>
      <c r="R8" s="3"/>
      <c r="S8" s="3"/>
      <c r="T8" s="3"/>
      <c r="U8" s="3"/>
      <c r="V8" s="3"/>
      <c r="W8" s="3"/>
    </row>
    <row r="9" spans="1:23">
      <c r="A9" s="3"/>
      <c r="B9" s="165" t="s">
        <v>295</v>
      </c>
      <c r="C9" s="166">
        <f>+Print_Mois!$L$24</f>
        <v>37514.800000000003</v>
      </c>
      <c r="D9" s="166">
        <f>+Print_Mois!$F$24</f>
        <v>61200</v>
      </c>
      <c r="E9" s="166">
        <f>+Print_Mois!$Q$24</f>
        <v>32554.999999999996</v>
      </c>
      <c r="F9" s="167">
        <f t="shared" si="0"/>
        <v>-23685.199999999997</v>
      </c>
      <c r="G9" s="168">
        <f t="shared" si="1"/>
        <v>4959.8000000000065</v>
      </c>
      <c r="H9" s="170">
        <f t="shared" si="2"/>
        <v>-0.38701307189542478</v>
      </c>
      <c r="I9" s="171">
        <f t="shared" si="3"/>
        <v>0.15235140531408409</v>
      </c>
      <c r="J9" s="1293"/>
      <c r="K9" s="3"/>
      <c r="L9" s="3"/>
      <c r="M9" s="3"/>
      <c r="N9" s="3"/>
      <c r="O9" s="3"/>
      <c r="P9" s="3"/>
      <c r="Q9" s="3"/>
      <c r="R9" s="3"/>
      <c r="S9" s="3"/>
      <c r="T9" s="3"/>
      <c r="U9" s="3"/>
      <c r="V9" s="3"/>
      <c r="W9" s="3"/>
    </row>
    <row r="10" spans="1:23">
      <c r="A10" s="3"/>
      <c r="B10" s="165" t="s">
        <v>296</v>
      </c>
      <c r="C10" s="166">
        <f t="shared" ref="C10:E10" si="6">+C9/C4</f>
        <v>893.20952380952383</v>
      </c>
      <c r="D10" s="166">
        <f t="shared" si="6"/>
        <v>1200</v>
      </c>
      <c r="E10" s="166">
        <f t="shared" si="6"/>
        <v>1017.3437499999999</v>
      </c>
      <c r="F10" s="167">
        <f t="shared" si="0"/>
        <v>-306.79047619047617</v>
      </c>
      <c r="G10" s="168">
        <f t="shared" si="1"/>
        <v>-124.13422619047606</v>
      </c>
      <c r="H10" s="170">
        <f t="shared" si="2"/>
        <v>-0.25565873015873014</v>
      </c>
      <c r="I10" s="171">
        <f t="shared" si="3"/>
        <v>-0.12201797690355504</v>
      </c>
      <c r="J10" s="1293"/>
      <c r="K10" s="3"/>
      <c r="L10" s="3"/>
      <c r="M10" s="3"/>
      <c r="N10" s="3"/>
      <c r="O10" s="3"/>
      <c r="P10" s="3"/>
      <c r="Q10" s="3"/>
      <c r="R10" s="3"/>
      <c r="S10" s="3"/>
      <c r="T10" s="3"/>
      <c r="U10" s="3"/>
      <c r="V10" s="3"/>
      <c r="W10" s="3"/>
    </row>
    <row r="11" spans="1:23">
      <c r="A11" s="3"/>
      <c r="B11" s="165" t="s">
        <v>297</v>
      </c>
      <c r="C11" s="166">
        <f>+Print_Mois!$L$32</f>
        <v>9333.16</v>
      </c>
      <c r="D11" s="166">
        <f>+Print_Mois!$F$32</f>
        <v>12240</v>
      </c>
      <c r="E11" s="166">
        <f>+Print_Mois!$Q$32</f>
        <v>8138.27</v>
      </c>
      <c r="F11" s="167">
        <f t="shared" si="0"/>
        <v>-2906.84</v>
      </c>
      <c r="G11" s="168">
        <f t="shared" si="1"/>
        <v>1194.8899999999994</v>
      </c>
      <c r="H11" s="170">
        <f t="shared" si="2"/>
        <v>-0.23748692810457517</v>
      </c>
      <c r="I11" s="171">
        <f t="shared" si="3"/>
        <v>0.14682358781411767</v>
      </c>
      <c r="J11" s="1293"/>
      <c r="K11" s="3"/>
      <c r="L11" s="3"/>
      <c r="M11" s="3"/>
      <c r="N11" s="3"/>
      <c r="O11" s="3"/>
      <c r="P11" s="3"/>
      <c r="Q11" s="3"/>
      <c r="R11" s="3"/>
      <c r="S11" s="3"/>
      <c r="T11" s="3"/>
      <c r="U11" s="3"/>
      <c r="V11" s="3"/>
      <c r="W11" s="3"/>
    </row>
    <row r="12" spans="1:23">
      <c r="A12" s="3"/>
      <c r="B12" s="165" t="s">
        <v>298</v>
      </c>
      <c r="C12" s="169">
        <f t="shared" ref="C12:E12" si="7">+C11/C9</f>
        <v>0.24878607909411748</v>
      </c>
      <c r="D12" s="169">
        <f t="shared" si="7"/>
        <v>0.2</v>
      </c>
      <c r="E12" s="169">
        <f t="shared" si="7"/>
        <v>0.24998525572108743</v>
      </c>
      <c r="F12" s="170">
        <f t="shared" si="0"/>
        <v>4.8786079094117474E-2</v>
      </c>
      <c r="G12" s="174">
        <f t="shared" si="1"/>
        <v>-1.1991766269699444E-3</v>
      </c>
      <c r="H12" s="170">
        <f t="shared" si="2"/>
        <v>0.24393039547058737</v>
      </c>
      <c r="I12" s="171">
        <f t="shared" si="3"/>
        <v>-4.7969894204796023E-3</v>
      </c>
      <c r="J12" s="1293"/>
      <c r="K12" s="3"/>
      <c r="L12" s="3"/>
      <c r="M12" s="3"/>
      <c r="N12" s="3"/>
      <c r="O12" s="3"/>
      <c r="P12" s="3"/>
      <c r="Q12" s="3"/>
      <c r="R12" s="3"/>
      <c r="S12" s="3"/>
      <c r="T12" s="3"/>
      <c r="U12" s="3"/>
      <c r="V12" s="3"/>
      <c r="W12" s="3"/>
    </row>
    <row r="13" spans="1:23">
      <c r="A13" s="3"/>
      <c r="B13" s="165" t="s">
        <v>299</v>
      </c>
      <c r="C13" s="166">
        <f>+Print_Mois!$L$41-C7-C11</f>
        <v>33941.39</v>
      </c>
      <c r="D13" s="166">
        <f>+Print_Mois!$F$41-D7-D11</f>
        <v>37038.271161271899</v>
      </c>
      <c r="E13" s="166">
        <f>+Print_Mois!$Q$41-E7-E11</f>
        <v>5811.7100000000028</v>
      </c>
      <c r="F13" s="167">
        <f t="shared" si="0"/>
        <v>-3096.8811612719001</v>
      </c>
      <c r="G13" s="168">
        <f t="shared" si="1"/>
        <v>28129.679999999997</v>
      </c>
      <c r="H13" s="170">
        <f t="shared" si="2"/>
        <v>-8.3613005255765635E-2</v>
      </c>
      <c r="I13" s="171">
        <f t="shared" si="3"/>
        <v>4.8401726858360075</v>
      </c>
      <c r="J13" s="1293"/>
      <c r="K13" s="3"/>
      <c r="L13" s="3"/>
      <c r="M13" s="3"/>
      <c r="N13" s="3"/>
      <c r="O13" s="3"/>
      <c r="P13" s="3"/>
      <c r="Q13" s="3"/>
      <c r="R13" s="3"/>
      <c r="S13" s="3"/>
      <c r="T13" s="3"/>
      <c r="U13" s="3"/>
      <c r="V13" s="3"/>
      <c r="W13" s="3"/>
    </row>
    <row r="14" spans="1:23">
      <c r="A14" s="3"/>
      <c r="B14" s="165" t="s">
        <v>300</v>
      </c>
      <c r="C14" s="166">
        <f t="shared" ref="C14:E14" si="8">+C13/C4</f>
        <v>808.12833333333333</v>
      </c>
      <c r="D14" s="166">
        <f t="shared" si="8"/>
        <v>726.2406110053314</v>
      </c>
      <c r="E14" s="166">
        <f t="shared" si="8"/>
        <v>181.61593750000009</v>
      </c>
      <c r="F14" s="167">
        <f t="shared" si="0"/>
        <v>81.887722328001928</v>
      </c>
      <c r="G14" s="168">
        <f t="shared" si="1"/>
        <v>626.51239583333324</v>
      </c>
      <c r="H14" s="170">
        <f t="shared" si="2"/>
        <v>0.11275563647514168</v>
      </c>
      <c r="I14" s="171">
        <f t="shared" si="3"/>
        <v>3.449655379684577</v>
      </c>
      <c r="J14" s="1293"/>
      <c r="K14" s="3"/>
      <c r="L14" s="3"/>
      <c r="M14" s="3"/>
      <c r="N14" s="3"/>
      <c r="O14" s="3"/>
      <c r="P14" s="3"/>
      <c r="Q14" s="3"/>
      <c r="R14" s="3"/>
      <c r="S14" s="3"/>
      <c r="T14" s="3"/>
      <c r="U14" s="3"/>
      <c r="V14" s="3"/>
      <c r="W14" s="3"/>
    </row>
    <row r="15" spans="1:23">
      <c r="A15" s="3"/>
      <c r="B15" s="165" t="s">
        <v>301</v>
      </c>
      <c r="C15" s="166">
        <f>+Print_Mois!$L$83</f>
        <v>110403</v>
      </c>
      <c r="D15" s="166">
        <f>+Print_Mois!$F$83</f>
        <v>91418.856354494565</v>
      </c>
      <c r="E15" s="166">
        <f>+Print_Mois!$Q$83</f>
        <v>63571</v>
      </c>
      <c r="F15" s="167">
        <f t="shared" si="0"/>
        <v>18984.143645505435</v>
      </c>
      <c r="G15" s="168">
        <f t="shared" si="1"/>
        <v>46832</v>
      </c>
      <c r="H15" s="170">
        <f t="shared" si="2"/>
        <v>0.20766113690911525</v>
      </c>
      <c r="I15" s="171">
        <f t="shared" si="3"/>
        <v>0.73668811250412924</v>
      </c>
      <c r="J15" s="129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9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9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9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33</v>
      </c>
      <c r="E21" s="160">
        <f>+Print_Mois!$O$97</f>
        <v>17</v>
      </c>
      <c r="F21" s="161">
        <f t="shared" ref="F21:F32" si="11">+IFERROR($C21-D21,"")</f>
        <v>-15</v>
      </c>
      <c r="G21" s="162">
        <f t="shared" ref="G21:G32" si="12">+IFERROR($C21-E21,"")</f>
        <v>1</v>
      </c>
      <c r="H21" s="163">
        <f t="shared" ref="H21:H32" si="13">+IFERROR(F21/ABS($D21),"")</f>
        <v>-0.45454545454545453</v>
      </c>
      <c r="I21" s="164">
        <f t="shared" ref="I21:I32" si="14">+IFERROR(G21/ABS($E21),"")</f>
        <v>5.8823529411764705E-2</v>
      </c>
      <c r="J21" s="1292" t="s">
        <v>3920</v>
      </c>
      <c r="K21" s="3"/>
      <c r="L21" s="3"/>
      <c r="M21" s="3"/>
      <c r="N21" s="3"/>
      <c r="O21" s="3"/>
      <c r="P21" s="3"/>
      <c r="Q21" s="3"/>
      <c r="R21" s="3"/>
      <c r="S21" s="3"/>
      <c r="T21" s="3"/>
      <c r="U21" s="3"/>
      <c r="V21" s="3"/>
      <c r="W21" s="3"/>
    </row>
    <row r="22" spans="1:23" ht="15.75" customHeight="1">
      <c r="A22" s="3"/>
      <c r="B22" s="165" t="s">
        <v>291</v>
      </c>
      <c r="C22" s="166">
        <f>+Print_Mois!$L$97</f>
        <v>6019.2099999999837</v>
      </c>
      <c r="D22" s="166">
        <f>+Print_Mois!$F$97</f>
        <v>49500</v>
      </c>
      <c r="E22" s="166">
        <f>+Print_Mois!$Q$97</f>
        <v>22917.039999999899</v>
      </c>
      <c r="F22" s="167">
        <f t="shared" si="11"/>
        <v>-43480.790000000015</v>
      </c>
      <c r="G22" s="168">
        <f t="shared" si="12"/>
        <v>-16897.829999999914</v>
      </c>
      <c r="H22" s="170">
        <f t="shared" si="13"/>
        <v>-0.87839979797979828</v>
      </c>
      <c r="I22" s="171">
        <f t="shared" si="14"/>
        <v>-0.73734784247878382</v>
      </c>
      <c r="J22" s="1293"/>
      <c r="K22" s="3"/>
      <c r="L22" s="3"/>
      <c r="M22" s="3"/>
      <c r="N22" s="3"/>
      <c r="O22" s="3"/>
      <c r="P22" s="3"/>
      <c r="Q22" s="3"/>
      <c r="R22" s="3"/>
      <c r="S22" s="3"/>
      <c r="T22" s="3"/>
      <c r="U22" s="3"/>
      <c r="V22" s="3"/>
      <c r="W22" s="3"/>
    </row>
    <row r="23" spans="1:23" ht="15.75" customHeight="1">
      <c r="A23" s="3"/>
      <c r="B23" s="165" t="s">
        <v>292</v>
      </c>
      <c r="C23" s="166">
        <f t="shared" ref="C23:E23" si="15">+C22/C21</f>
        <v>334.40055555555466</v>
      </c>
      <c r="D23" s="166">
        <f t="shared" si="15"/>
        <v>1500</v>
      </c>
      <c r="E23" s="166">
        <f t="shared" si="15"/>
        <v>1348.0611764705823</v>
      </c>
      <c r="F23" s="167">
        <f t="shared" si="11"/>
        <v>-1165.5994444444455</v>
      </c>
      <c r="G23" s="168">
        <f t="shared" si="12"/>
        <v>-1013.6606209150276</v>
      </c>
      <c r="H23" s="170">
        <f t="shared" si="13"/>
        <v>-0.77706629629629698</v>
      </c>
      <c r="I23" s="171">
        <f t="shared" si="14"/>
        <v>-0.75193962900774036</v>
      </c>
      <c r="J23" s="1293"/>
      <c r="K23" s="3"/>
      <c r="L23" s="3"/>
      <c r="M23" s="3"/>
      <c r="N23" s="3"/>
      <c r="O23" s="3"/>
      <c r="P23" s="3"/>
      <c r="Q23" s="3"/>
      <c r="R23" s="3"/>
      <c r="S23" s="3"/>
      <c r="T23" s="3"/>
      <c r="U23" s="3"/>
      <c r="V23" s="3"/>
      <c r="W23" s="3"/>
    </row>
    <row r="24" spans="1:23" ht="15.75" customHeight="1">
      <c r="A24" s="3"/>
      <c r="B24" s="165" t="s">
        <v>293</v>
      </c>
      <c r="C24" s="166">
        <f>+Print_Mois!$L$112</f>
        <v>5095.76</v>
      </c>
      <c r="D24" s="166">
        <f>+Print_Mois!$F$112</f>
        <v>16165</v>
      </c>
      <c r="E24" s="166">
        <f>+Print_Mois!$Q$112</f>
        <v>8911.1</v>
      </c>
      <c r="F24" s="167">
        <f t="shared" si="11"/>
        <v>-11069.24</v>
      </c>
      <c r="G24" s="168">
        <f t="shared" si="12"/>
        <v>-3815.34</v>
      </c>
      <c r="H24" s="170">
        <f t="shared" si="13"/>
        <v>-0.68476585214970609</v>
      </c>
      <c r="I24" s="171">
        <f t="shared" si="14"/>
        <v>-0.42815589545622873</v>
      </c>
      <c r="J24" s="1293"/>
      <c r="K24" s="3"/>
      <c r="L24" s="3"/>
      <c r="M24" s="3"/>
      <c r="N24" s="3"/>
      <c r="O24" s="3"/>
      <c r="P24" s="3"/>
      <c r="Q24" s="3"/>
      <c r="R24" s="3"/>
      <c r="S24" s="3"/>
      <c r="T24" s="3"/>
      <c r="U24" s="3"/>
      <c r="V24" s="3"/>
      <c r="W24" s="3"/>
    </row>
    <row r="25" spans="1:23" ht="15.75" customHeight="1">
      <c r="A25" s="3"/>
      <c r="B25" s="165" t="s">
        <v>294</v>
      </c>
      <c r="C25" s="169">
        <f t="shared" ref="C25:E25" si="16">+C24/C22</f>
        <v>0.84658285721880677</v>
      </c>
      <c r="D25" s="169">
        <f t="shared" si="16"/>
        <v>0.32656565656565656</v>
      </c>
      <c r="E25" s="169">
        <f t="shared" si="16"/>
        <v>0.38884166541577969</v>
      </c>
      <c r="F25" s="172">
        <f t="shared" si="11"/>
        <v>0.52001720065315027</v>
      </c>
      <c r="G25" s="173">
        <f t="shared" si="12"/>
        <v>0.45774119180302708</v>
      </c>
      <c r="H25" s="170">
        <f t="shared" si="13"/>
        <v>1.5923817774408251</v>
      </c>
      <c r="I25" s="171">
        <f t="shared" si="14"/>
        <v>1.177191727418343</v>
      </c>
      <c r="J25" s="1293"/>
      <c r="K25" s="3"/>
      <c r="L25" s="3"/>
      <c r="M25" s="3"/>
      <c r="N25" s="3"/>
      <c r="O25" s="3"/>
      <c r="P25" s="3"/>
      <c r="Q25" s="3"/>
      <c r="R25" s="3"/>
      <c r="S25" s="3"/>
      <c r="T25" s="3"/>
      <c r="U25" s="3"/>
      <c r="V25" s="3"/>
      <c r="W25" s="3"/>
    </row>
    <row r="26" spans="1:23" ht="15.75" customHeight="1">
      <c r="A26" s="3"/>
      <c r="B26" s="165" t="s">
        <v>295</v>
      </c>
      <c r="C26" s="166">
        <f>+Print_Mois!$L$105</f>
        <v>19305.990000000002</v>
      </c>
      <c r="D26" s="166">
        <f>+Print_Mois!$F$105</f>
        <v>66000</v>
      </c>
      <c r="E26" s="166">
        <f>+Print_Mois!$Q$105</f>
        <v>26885.18</v>
      </c>
      <c r="F26" s="167">
        <f t="shared" si="11"/>
        <v>-46694.009999999995</v>
      </c>
      <c r="G26" s="168">
        <f t="shared" si="12"/>
        <v>-7579.1899999999987</v>
      </c>
      <c r="H26" s="170">
        <f t="shared" si="13"/>
        <v>-0.70748499999999992</v>
      </c>
      <c r="I26" s="171">
        <f t="shared" si="14"/>
        <v>-0.28190958736374461</v>
      </c>
      <c r="J26" s="1293"/>
      <c r="K26" s="3"/>
      <c r="L26" s="3"/>
      <c r="M26" s="3"/>
      <c r="N26" s="3"/>
      <c r="O26" s="3"/>
      <c r="P26" s="3"/>
      <c r="Q26" s="3"/>
      <c r="R26" s="3"/>
      <c r="S26" s="3"/>
      <c r="T26" s="3"/>
      <c r="U26" s="3"/>
      <c r="V26" s="3"/>
      <c r="W26" s="3"/>
    </row>
    <row r="27" spans="1:23" ht="15.75" customHeight="1">
      <c r="A27" s="3"/>
      <c r="B27" s="165" t="s">
        <v>296</v>
      </c>
      <c r="C27" s="166">
        <f t="shared" ref="C27:E27" si="17">+C26/C21</f>
        <v>1072.5550000000001</v>
      </c>
      <c r="D27" s="166">
        <f t="shared" si="17"/>
        <v>2000</v>
      </c>
      <c r="E27" s="166">
        <f t="shared" si="17"/>
        <v>1581.4811764705883</v>
      </c>
      <c r="F27" s="167">
        <f t="shared" si="11"/>
        <v>-927.44499999999994</v>
      </c>
      <c r="G27" s="168">
        <f t="shared" si="12"/>
        <v>-508.92617647058819</v>
      </c>
      <c r="H27" s="170">
        <f t="shared" si="13"/>
        <v>-0.46372249999999998</v>
      </c>
      <c r="I27" s="171">
        <f t="shared" si="14"/>
        <v>-0.3218034991768699</v>
      </c>
      <c r="J27" s="1293"/>
      <c r="K27" s="3"/>
      <c r="L27" s="3"/>
      <c r="M27" s="3"/>
      <c r="N27" s="3"/>
      <c r="O27" s="3"/>
      <c r="P27" s="3"/>
      <c r="Q27" s="3"/>
      <c r="R27" s="3"/>
      <c r="S27" s="3"/>
      <c r="T27" s="3"/>
      <c r="U27" s="3"/>
      <c r="V27" s="3"/>
      <c r="W27" s="3"/>
    </row>
    <row r="28" spans="1:23" ht="15.75" customHeight="1">
      <c r="A28" s="3"/>
      <c r="B28" s="165" t="s">
        <v>297</v>
      </c>
      <c r="C28" s="166">
        <f>+Print_Mois!$L$113</f>
        <v>6586.51</v>
      </c>
      <c r="D28" s="166">
        <f>+Print_Mois!$F$113</f>
        <v>17249.691629955949</v>
      </c>
      <c r="E28" s="166">
        <f>+Print_Mois!$Q$113</f>
        <v>6721.09</v>
      </c>
      <c r="F28" s="167">
        <f t="shared" si="11"/>
        <v>-10663.181629955949</v>
      </c>
      <c r="G28" s="168">
        <f t="shared" si="12"/>
        <v>-134.57999999999993</v>
      </c>
      <c r="H28" s="170">
        <f t="shared" si="13"/>
        <v>-0.61816650747762847</v>
      </c>
      <c r="I28" s="171">
        <f t="shared" si="14"/>
        <v>-2.0023537848771544E-2</v>
      </c>
      <c r="J28" s="1293"/>
      <c r="K28" s="3"/>
      <c r="L28" s="3"/>
      <c r="M28" s="3"/>
      <c r="N28" s="3"/>
      <c r="O28" s="3"/>
      <c r="P28" s="3"/>
      <c r="Q28" s="3"/>
      <c r="R28" s="3"/>
      <c r="S28" s="3"/>
      <c r="T28" s="3"/>
      <c r="U28" s="3"/>
      <c r="V28" s="3"/>
      <c r="W28" s="3"/>
    </row>
    <row r="29" spans="1:23" ht="15.75" customHeight="1">
      <c r="A29" s="3"/>
      <c r="B29" s="165" t="s">
        <v>298</v>
      </c>
      <c r="C29" s="169">
        <f t="shared" ref="C29:E29" si="18">+C28/C26</f>
        <v>0.34116406358855461</v>
      </c>
      <c r="D29" s="169">
        <f t="shared" si="18"/>
        <v>0.26135896409024167</v>
      </c>
      <c r="E29" s="169">
        <f t="shared" si="18"/>
        <v>0.24999237498130941</v>
      </c>
      <c r="F29" s="170">
        <f t="shared" si="11"/>
        <v>7.9805099498312937E-2</v>
      </c>
      <c r="G29" s="174">
        <f t="shared" si="12"/>
        <v>9.1171688607245199E-2</v>
      </c>
      <c r="H29" s="170">
        <f t="shared" si="13"/>
        <v>0.30534670879227216</v>
      </c>
      <c r="I29" s="171">
        <f t="shared" si="14"/>
        <v>0.36469787774151757</v>
      </c>
      <c r="J29" s="1293"/>
      <c r="K29" s="3"/>
      <c r="L29" s="3"/>
      <c r="M29" s="3"/>
      <c r="N29" s="3"/>
      <c r="O29" s="3"/>
      <c r="P29" s="3"/>
      <c r="Q29" s="3"/>
      <c r="R29" s="3"/>
      <c r="S29" s="3"/>
      <c r="T29" s="3"/>
      <c r="U29" s="3"/>
      <c r="V29" s="3"/>
      <c r="W29" s="3"/>
    </row>
    <row r="30" spans="1:23" ht="15.75" customHeight="1">
      <c r="A30" s="3"/>
      <c r="B30" s="165" t="s">
        <v>299</v>
      </c>
      <c r="C30" s="166">
        <f>+Print_Mois!$L$122-C24-C28</f>
        <v>16584.519999999997</v>
      </c>
      <c r="D30" s="166">
        <f>+Print_Mois!$F$122-D24-D28</f>
        <v>18326.250000000004</v>
      </c>
      <c r="E30" s="166">
        <f>+Print_Mois!$Q$122-E24-E28</f>
        <v>10696.180000000004</v>
      </c>
      <c r="F30" s="167">
        <f t="shared" si="11"/>
        <v>-1741.7300000000068</v>
      </c>
      <c r="G30" s="168">
        <f t="shared" si="12"/>
        <v>5888.3399999999929</v>
      </c>
      <c r="H30" s="170">
        <f t="shared" si="13"/>
        <v>-9.5040174612918984E-2</v>
      </c>
      <c r="I30" s="171">
        <f t="shared" si="14"/>
        <v>0.5505086862786519</v>
      </c>
      <c r="J30" s="1293"/>
      <c r="K30" s="3"/>
      <c r="L30" s="3"/>
      <c r="M30" s="3"/>
      <c r="N30" s="3"/>
      <c r="O30" s="3"/>
      <c r="P30" s="3"/>
      <c r="Q30" s="3"/>
      <c r="R30" s="3"/>
      <c r="S30" s="3"/>
      <c r="T30" s="3"/>
      <c r="U30" s="3"/>
      <c r="V30" s="3"/>
      <c r="W30" s="3"/>
    </row>
    <row r="31" spans="1:23" ht="15.75" customHeight="1">
      <c r="A31" s="3"/>
      <c r="B31" s="165" t="s">
        <v>300</v>
      </c>
      <c r="C31" s="166">
        <f t="shared" ref="C31:E31" si="19">+C30/C21</f>
        <v>921.36222222222204</v>
      </c>
      <c r="D31" s="166">
        <f t="shared" si="19"/>
        <v>555.34090909090924</v>
      </c>
      <c r="E31" s="166">
        <f t="shared" si="19"/>
        <v>629.1870588235297</v>
      </c>
      <c r="F31" s="167">
        <f t="shared" si="11"/>
        <v>366.02131313131281</v>
      </c>
      <c r="G31" s="168">
        <f t="shared" si="12"/>
        <v>292.17516339869235</v>
      </c>
      <c r="H31" s="170">
        <f t="shared" si="13"/>
        <v>0.65909301320964842</v>
      </c>
      <c r="I31" s="171">
        <f t="shared" si="14"/>
        <v>0.46436931481872668</v>
      </c>
      <c r="J31" s="1293"/>
      <c r="K31" s="3"/>
      <c r="L31" s="3"/>
      <c r="M31" s="3"/>
      <c r="N31" s="3"/>
      <c r="O31" s="3"/>
      <c r="P31" s="3"/>
      <c r="Q31" s="3"/>
      <c r="R31" s="3"/>
      <c r="S31" s="3"/>
      <c r="T31" s="3"/>
      <c r="U31" s="3"/>
      <c r="V31" s="3"/>
      <c r="W31" s="3"/>
    </row>
    <row r="32" spans="1:23" ht="15.75" customHeight="1">
      <c r="A32" s="3"/>
      <c r="B32" s="165" t="s">
        <v>301</v>
      </c>
      <c r="C32" s="166">
        <f>+Print_Mois!$L$163</f>
        <v>8163</v>
      </c>
      <c r="D32" s="166">
        <f>+Print_Mois!$F$163</f>
        <v>15016.65</v>
      </c>
      <c r="E32" s="166">
        <f>+Print_Mois!$Q$163</f>
        <v>8208</v>
      </c>
      <c r="F32" s="167">
        <f t="shared" si="11"/>
        <v>-6853.65</v>
      </c>
      <c r="G32" s="168">
        <f t="shared" si="12"/>
        <v>-45</v>
      </c>
      <c r="H32" s="170">
        <f t="shared" si="13"/>
        <v>-0.45640339223461956</v>
      </c>
      <c r="I32" s="171">
        <f t="shared" si="14"/>
        <v>-5.4824561403508769E-3</v>
      </c>
      <c r="J32" s="129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9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9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9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278696.02</v>
      </c>
      <c r="D38" s="200">
        <f>+Print_Mois!$E$194</f>
        <v>271976.54645620822</v>
      </c>
      <c r="E38" s="200">
        <f>+Print_Mois!$P$194</f>
        <v>256200.31999999998</v>
      </c>
      <c r="F38" s="201">
        <f t="shared" ref="F38:F47" si="22">+IFERROR($C38-D38,"")</f>
        <v>6719.4735437917989</v>
      </c>
      <c r="G38" s="202">
        <f t="shared" ref="G38:G47" si="23">+IFERROR($C38-E38,"")</f>
        <v>22495.700000000041</v>
      </c>
      <c r="H38" s="163">
        <f t="shared" ref="H38:H47" si="24">+IFERROR(F38/ABS($D38),"")</f>
        <v>2.4706077164906283E-2</v>
      </c>
      <c r="I38" s="164">
        <f t="shared" ref="I38:I47" si="25">+IFERROR(G38/ABS($E38),"")</f>
        <v>8.7805120618116489E-2</v>
      </c>
      <c r="J38" s="1292" t="s">
        <v>3921</v>
      </c>
      <c r="K38" s="3"/>
      <c r="L38" s="3"/>
      <c r="M38" s="3"/>
      <c r="N38" s="3"/>
      <c r="O38" s="3"/>
      <c r="P38" s="3"/>
      <c r="Q38" s="3"/>
      <c r="R38" s="3"/>
      <c r="S38" s="3"/>
      <c r="T38" s="3"/>
      <c r="U38" s="3"/>
      <c r="V38" s="3"/>
      <c r="W38" s="3"/>
    </row>
    <row r="39" spans="1:23" ht="15.75" customHeight="1">
      <c r="A39" s="3"/>
      <c r="B39" s="159" t="s">
        <v>306</v>
      </c>
      <c r="C39" s="200">
        <f>+Print_Mois!$L$194</f>
        <v>199491.12</v>
      </c>
      <c r="D39" s="200">
        <f>+Print_Mois!$F$194</f>
        <v>185461.00025601333</v>
      </c>
      <c r="E39" s="200">
        <f>+Print_Mois!$Q$194</f>
        <v>178542.3599999999</v>
      </c>
      <c r="F39" s="201">
        <f t="shared" si="22"/>
        <v>14030.119743986666</v>
      </c>
      <c r="G39" s="202">
        <f t="shared" si="23"/>
        <v>20948.760000000097</v>
      </c>
      <c r="H39" s="203">
        <f t="shared" si="24"/>
        <v>7.5649973442498769E-2</v>
      </c>
      <c r="I39" s="204">
        <f t="shared" si="25"/>
        <v>0.11733215579764997</v>
      </c>
      <c r="J39" s="1293"/>
      <c r="K39" s="3"/>
      <c r="L39" s="3"/>
      <c r="M39" s="3"/>
      <c r="N39" s="3"/>
      <c r="O39" s="3"/>
      <c r="P39" s="3"/>
      <c r="Q39" s="3"/>
      <c r="R39" s="3"/>
      <c r="S39" s="3"/>
      <c r="T39" s="3"/>
      <c r="U39" s="3"/>
      <c r="V39" s="3"/>
      <c r="W39" s="3"/>
    </row>
    <row r="40" spans="1:23" ht="15.75" customHeight="1">
      <c r="A40" s="3"/>
      <c r="B40" s="165" t="s">
        <v>307</v>
      </c>
      <c r="C40" s="166">
        <f>+Print_Mois!$K$172/Print_Mois!$J$172</f>
        <v>387.61455645161294</v>
      </c>
      <c r="D40" s="166">
        <f>+IFERROR(Print_Mois!$E$172/Print_Mois!$D$172,"")</f>
        <v>350</v>
      </c>
      <c r="E40" s="166">
        <f>+Print_Mois!$P$172/Print_Mois!$O$172</f>
        <v>378.59677419354841</v>
      </c>
      <c r="F40" s="167">
        <f t="shared" si="22"/>
        <v>37.614556451612941</v>
      </c>
      <c r="G40" s="168">
        <f t="shared" si="23"/>
        <v>9.0177822580645284</v>
      </c>
      <c r="H40" s="170">
        <f t="shared" si="24"/>
        <v>0.10747016129032269</v>
      </c>
      <c r="I40" s="171">
        <f t="shared" si="25"/>
        <v>2.3818962211903067E-2</v>
      </c>
      <c r="J40" s="1293"/>
      <c r="K40" s="3"/>
      <c r="L40" s="3"/>
      <c r="M40" s="3"/>
      <c r="N40" s="3"/>
      <c r="O40" s="3"/>
      <c r="P40" s="3"/>
      <c r="Q40" s="3"/>
      <c r="R40" s="3"/>
      <c r="S40" s="3"/>
      <c r="T40" s="3"/>
      <c r="U40" s="3"/>
      <c r="V40" s="3"/>
      <c r="W40" s="3"/>
    </row>
    <row r="41" spans="1:23" ht="15.75" customHeight="1">
      <c r="A41" s="3"/>
      <c r="B41" s="165" t="s">
        <v>308</v>
      </c>
      <c r="C41" s="166">
        <f>+Print_Mois!$K$175/Print_Mois!$J$175</f>
        <v>367.53564516129035</v>
      </c>
      <c r="D41" s="166">
        <f>+IFERROR(Print_Mois!$E$175/Print_Mois!$D$175,"")</f>
        <v>300</v>
      </c>
      <c r="E41" s="166">
        <f>+Print_Mois!$P$175/Print_Mois!$O$175</f>
        <v>261.43767441860467</v>
      </c>
      <c r="F41" s="167">
        <f t="shared" si="22"/>
        <v>67.535645161290347</v>
      </c>
      <c r="G41" s="168">
        <f t="shared" si="23"/>
        <v>106.09797074268567</v>
      </c>
      <c r="H41" s="170">
        <f t="shared" si="24"/>
        <v>0.22511881720430116</v>
      </c>
      <c r="I41" s="171">
        <f t="shared" si="25"/>
        <v>0.40582510144580536</v>
      </c>
      <c r="J41" s="1293"/>
      <c r="K41" s="3"/>
      <c r="L41" s="3"/>
      <c r="M41" s="3"/>
      <c r="N41" s="3"/>
      <c r="O41" s="3"/>
      <c r="P41" s="3"/>
      <c r="Q41" s="3"/>
      <c r="R41" s="3"/>
      <c r="S41" s="3"/>
      <c r="T41" s="3"/>
      <c r="U41" s="3"/>
      <c r="V41" s="3"/>
      <c r="W41" s="3"/>
    </row>
    <row r="42" spans="1:23" ht="15.75" customHeight="1">
      <c r="A42" s="3"/>
      <c r="B42" s="165" t="s">
        <v>309</v>
      </c>
      <c r="C42" s="166">
        <f>+Print_Mois!$L$184</f>
        <v>-1923.54</v>
      </c>
      <c r="D42" s="166">
        <f>+Print_Mois!$F$184</f>
        <v>-2741.0144654697733</v>
      </c>
      <c r="E42" s="166">
        <f>+Print_Mois!$Q$184</f>
        <v>-1540.85</v>
      </c>
      <c r="F42" s="167">
        <f t="shared" si="22"/>
        <v>817.47446546977335</v>
      </c>
      <c r="G42" s="168">
        <f t="shared" si="23"/>
        <v>-382.69000000000005</v>
      </c>
      <c r="H42" s="170">
        <f t="shared" si="24"/>
        <v>0.2982379245961656</v>
      </c>
      <c r="I42" s="171">
        <f t="shared" si="25"/>
        <v>-0.24836291657202197</v>
      </c>
      <c r="J42" s="1293"/>
      <c r="K42" s="3"/>
      <c r="L42" s="3"/>
      <c r="M42" s="3"/>
      <c r="N42" s="3"/>
      <c r="O42" s="3"/>
      <c r="P42" s="3"/>
      <c r="Q42" s="3"/>
      <c r="R42" s="3"/>
      <c r="S42" s="3"/>
      <c r="T42" s="3"/>
      <c r="U42" s="3"/>
      <c r="V42" s="3"/>
      <c r="W42" s="3"/>
    </row>
    <row r="43" spans="1:23" ht="15.75" customHeight="1">
      <c r="A43" s="3"/>
      <c r="B43" s="165" t="s">
        <v>310</v>
      </c>
      <c r="C43" s="166">
        <f>+Print_Mois!$L$210</f>
        <v>104695.15000000001</v>
      </c>
      <c r="D43" s="166">
        <f>+Print_Mois!$F$210</f>
        <v>115738.79936676219</v>
      </c>
      <c r="E43" s="166">
        <f>+Print_Mois!$Q$210</f>
        <v>93287.340000000011</v>
      </c>
      <c r="F43" s="167">
        <f t="shared" si="22"/>
        <v>-11043.649366762183</v>
      </c>
      <c r="G43" s="168">
        <f t="shared" si="23"/>
        <v>11407.809999999998</v>
      </c>
      <c r="H43" s="170">
        <f t="shared" si="24"/>
        <v>-9.5418731032159754E-2</v>
      </c>
      <c r="I43" s="171">
        <f t="shared" si="25"/>
        <v>0.12228679690084417</v>
      </c>
      <c r="J43" s="1293"/>
      <c r="K43" s="3"/>
      <c r="L43" s="3"/>
      <c r="M43" s="3"/>
      <c r="N43" s="3"/>
      <c r="O43" s="3"/>
      <c r="P43" s="3"/>
      <c r="Q43" s="3"/>
      <c r="R43" s="3"/>
      <c r="S43" s="3"/>
      <c r="T43" s="3"/>
      <c r="U43" s="3"/>
      <c r="V43" s="3"/>
      <c r="W43" s="3"/>
    </row>
    <row r="44" spans="1:23" ht="15.75" customHeight="1">
      <c r="A44" s="3"/>
      <c r="B44" s="181" t="s">
        <v>311</v>
      </c>
      <c r="C44" s="166">
        <f>+SUM(Print_Mois!$L$198:$L$204)</f>
        <v>58020.520000000004</v>
      </c>
      <c r="D44" s="166">
        <f>+SUM(Print_Mois!$F$198:$F$204)</f>
        <v>66946.279470882742</v>
      </c>
      <c r="E44" s="166">
        <f>+SUM(Print_Mois!$Q$198:$Q$204)</f>
        <v>52373.03</v>
      </c>
      <c r="F44" s="167">
        <f t="shared" si="22"/>
        <v>-8925.7594708827382</v>
      </c>
      <c r="G44" s="168">
        <f t="shared" si="23"/>
        <v>5647.4900000000052</v>
      </c>
      <c r="H44" s="170">
        <f t="shared" si="24"/>
        <v>-0.13332719221185191</v>
      </c>
      <c r="I44" s="171">
        <f t="shared" si="25"/>
        <v>0.10783202728579969</v>
      </c>
      <c r="J44" s="1293"/>
      <c r="K44" s="3"/>
      <c r="L44" s="3"/>
      <c r="M44" s="3"/>
      <c r="N44" s="3"/>
      <c r="O44" s="3"/>
      <c r="P44" s="3"/>
      <c r="Q44" s="3"/>
      <c r="R44" s="3"/>
      <c r="S44" s="3"/>
      <c r="T44" s="3"/>
      <c r="U44" s="3"/>
      <c r="V44" s="3"/>
      <c r="W44" s="3"/>
    </row>
    <row r="45" spans="1:23">
      <c r="A45" s="3"/>
      <c r="B45" s="181" t="s">
        <v>312</v>
      </c>
      <c r="C45" s="166">
        <f>+SUM(Print_Mois!$L$205:$L$209)</f>
        <v>46674.63</v>
      </c>
      <c r="D45" s="166">
        <f>+SUM(Print_Mois!$F$205:$F$209)</f>
        <v>48792.519895879435</v>
      </c>
      <c r="E45" s="166">
        <f>+SUM(Print_Mois!$Q$205:$Q$209)</f>
        <v>40914.31</v>
      </c>
      <c r="F45" s="167">
        <f t="shared" si="22"/>
        <v>-2117.889895879438</v>
      </c>
      <c r="G45" s="168">
        <f t="shared" si="23"/>
        <v>5760.32</v>
      </c>
      <c r="H45" s="170">
        <f t="shared" si="24"/>
        <v>-4.3406036425232782E-2</v>
      </c>
      <c r="I45" s="171">
        <f t="shared" si="25"/>
        <v>0.14078986056467774</v>
      </c>
      <c r="J45" s="1293"/>
      <c r="K45" s="3"/>
      <c r="L45" s="3"/>
      <c r="M45" s="3"/>
      <c r="N45" s="3"/>
      <c r="O45" s="3"/>
      <c r="P45" s="3"/>
      <c r="Q45" s="3"/>
      <c r="R45" s="3"/>
      <c r="S45" s="3"/>
      <c r="T45" s="3"/>
      <c r="U45" s="3"/>
      <c r="V45" s="3"/>
      <c r="W45" s="3"/>
    </row>
    <row r="46" spans="1:23">
      <c r="A46" s="3"/>
      <c r="B46" s="165" t="s">
        <v>313</v>
      </c>
      <c r="C46" s="169">
        <f t="shared" ref="C46:E46" si="26">+C43/C38</f>
        <v>0.3756607288471504</v>
      </c>
      <c r="D46" s="169">
        <f t="shared" si="26"/>
        <v>0.42554698511622452</v>
      </c>
      <c r="E46" s="169">
        <f t="shared" si="26"/>
        <v>0.36411874895394364</v>
      </c>
      <c r="F46" s="172">
        <f t="shared" si="22"/>
        <v>-4.9886256269074114E-2</v>
      </c>
      <c r="G46" s="173">
        <f t="shared" si="23"/>
        <v>1.1541979893206766E-2</v>
      </c>
      <c r="H46" s="170">
        <f t="shared" si="24"/>
        <v>-0.11722855058049414</v>
      </c>
      <c r="I46" s="171">
        <f t="shared" si="25"/>
        <v>3.169839489552536E-2</v>
      </c>
      <c r="J46" s="1293"/>
      <c r="K46" s="3"/>
      <c r="L46" s="3"/>
      <c r="M46" s="3"/>
      <c r="N46" s="3"/>
      <c r="O46" s="3"/>
      <c r="P46" s="3"/>
      <c r="Q46" s="3"/>
      <c r="R46" s="3"/>
      <c r="S46" s="3"/>
      <c r="T46" s="3"/>
      <c r="U46" s="3"/>
      <c r="V46" s="3"/>
      <c r="W46" s="3"/>
    </row>
    <row r="47" spans="1:23">
      <c r="A47" s="3"/>
      <c r="B47" s="205" t="s">
        <v>131</v>
      </c>
      <c r="C47" s="184">
        <f>+Print_Mois!$L$213</f>
        <v>18328.53</v>
      </c>
      <c r="D47" s="184">
        <f>+Print_Mois!$F$213</f>
        <v>11083.739355555555</v>
      </c>
      <c r="E47" s="184">
        <f>+Print_Mois!$Q$213</f>
        <v>9690.11</v>
      </c>
      <c r="F47" s="185">
        <f t="shared" si="22"/>
        <v>7244.7906444444434</v>
      </c>
      <c r="G47" s="186">
        <f t="shared" si="23"/>
        <v>8638.4199999999983</v>
      </c>
      <c r="H47" s="187">
        <f t="shared" si="24"/>
        <v>0.65364137607702788</v>
      </c>
      <c r="I47" s="188">
        <f t="shared" si="25"/>
        <v>0.89146769231721801</v>
      </c>
      <c r="J47" s="129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623608.91</v>
      </c>
      <c r="D50" s="200">
        <f>+Print_Mois!$D$314</f>
        <v>494585.56789248245</v>
      </c>
      <c r="E50" s="200">
        <f>+Print_Mois!$O$314</f>
        <v>499700.52999999997</v>
      </c>
      <c r="F50" s="201">
        <f t="shared" ref="F50:F59" si="27">+IFERROR($C50-D50,"")</f>
        <v>129023.34210751759</v>
      </c>
      <c r="G50" s="202">
        <f t="shared" ref="G50:G59" si="28">+IFERROR($C50-E50,"")</f>
        <v>123908.38000000006</v>
      </c>
      <c r="H50" s="163">
        <f t="shared" ref="H50:H59" si="29">+IFERROR(F50/ABS($D50),"")</f>
        <v>0.26087162764839483</v>
      </c>
      <c r="I50" s="164">
        <f t="shared" ref="I50:I59" si="30">+IFERROR(G50/ABS($E50),"")</f>
        <v>0.24796527632260079</v>
      </c>
      <c r="J50" s="1292" t="s">
        <v>3922</v>
      </c>
      <c r="K50" s="3"/>
      <c r="L50" s="3"/>
      <c r="M50" s="3"/>
      <c r="N50" s="3"/>
      <c r="O50" s="3"/>
      <c r="P50" s="3"/>
      <c r="Q50" s="3"/>
      <c r="R50" s="3"/>
      <c r="S50" s="3"/>
      <c r="T50" s="3"/>
      <c r="U50" s="3"/>
      <c r="V50" s="3"/>
      <c r="W50" s="3"/>
    </row>
    <row r="51" spans="1:23" ht="15.75" customHeight="1">
      <c r="A51" s="3"/>
      <c r="B51" s="181" t="s">
        <v>315</v>
      </c>
      <c r="C51" s="166">
        <f>+Print_Mois!$J$295</f>
        <v>69022.350000000006</v>
      </c>
      <c r="D51" s="166">
        <f>+Print_Mois!$D$295</f>
        <v>66847.808400036345</v>
      </c>
      <c r="E51" s="166">
        <f>+Print_Mois!$O$295</f>
        <v>60578.83</v>
      </c>
      <c r="F51" s="167">
        <f t="shared" si="27"/>
        <v>2174.5415999636607</v>
      </c>
      <c r="G51" s="168">
        <f t="shared" si="28"/>
        <v>8443.5200000000041</v>
      </c>
      <c r="H51" s="170">
        <f t="shared" si="29"/>
        <v>3.2529736606330961E-2</v>
      </c>
      <c r="I51" s="171">
        <f t="shared" si="30"/>
        <v>0.1393807044474118</v>
      </c>
      <c r="J51" s="1293"/>
      <c r="K51" s="3"/>
      <c r="L51" s="3"/>
      <c r="M51" s="3"/>
      <c r="N51" s="3"/>
      <c r="O51" s="3"/>
      <c r="P51" s="3"/>
      <c r="Q51" s="3"/>
      <c r="R51" s="3"/>
      <c r="S51" s="3"/>
      <c r="T51" s="3"/>
      <c r="U51" s="3"/>
      <c r="V51" s="3"/>
      <c r="W51" s="3"/>
    </row>
    <row r="52" spans="1:23" ht="15.75" customHeight="1">
      <c r="A52" s="3"/>
      <c r="B52" s="181" t="s">
        <v>316</v>
      </c>
      <c r="C52" s="166">
        <f>+Print_Mois!$J$297</f>
        <v>104200.76</v>
      </c>
      <c r="D52" s="166">
        <f>+Print_Mois!$D$297</f>
        <v>59281.819703000736</v>
      </c>
      <c r="E52" s="166">
        <f>+Print_Mois!$O$297</f>
        <v>81364.36</v>
      </c>
      <c r="F52" s="167">
        <f t="shared" si="27"/>
        <v>44918.940296999259</v>
      </c>
      <c r="G52" s="168">
        <f t="shared" si="28"/>
        <v>22836.399999999994</v>
      </c>
      <c r="H52" s="170">
        <f t="shared" si="29"/>
        <v>0.75771864834853486</v>
      </c>
      <c r="I52" s="171">
        <f t="shared" si="30"/>
        <v>0.28066834176536254</v>
      </c>
      <c r="J52" s="1293"/>
      <c r="K52" s="3"/>
      <c r="L52" s="3"/>
      <c r="M52" s="3"/>
      <c r="N52" s="3"/>
      <c r="O52" s="3"/>
      <c r="P52" s="3"/>
      <c r="Q52" s="3"/>
      <c r="R52" s="3"/>
      <c r="S52" s="3"/>
      <c r="T52" s="3"/>
      <c r="U52" s="3"/>
      <c r="V52" s="3"/>
      <c r="W52" s="3"/>
    </row>
    <row r="53" spans="1:23" ht="15.75" customHeight="1">
      <c r="A53" s="3"/>
      <c r="B53" s="181" t="s">
        <v>317</v>
      </c>
      <c r="C53" s="166">
        <f>+Print_Mois!$J$300</f>
        <v>204248.82</v>
      </c>
      <c r="D53" s="166">
        <f>+Print_Mois!$D$300</f>
        <v>169290.82542283507</v>
      </c>
      <c r="E53" s="166">
        <f>+Print_Mois!$O$300</f>
        <v>198781.86</v>
      </c>
      <c r="F53" s="167">
        <f t="shared" si="27"/>
        <v>34957.994577164936</v>
      </c>
      <c r="G53" s="168">
        <f t="shared" si="28"/>
        <v>5466.960000000021</v>
      </c>
      <c r="H53" s="170">
        <f t="shared" si="29"/>
        <v>0.20649668692825435</v>
      </c>
      <c r="I53" s="171">
        <f t="shared" si="30"/>
        <v>2.7502308309219067E-2</v>
      </c>
      <c r="J53" s="1293"/>
      <c r="K53" s="3"/>
      <c r="L53" s="3"/>
      <c r="M53" s="3"/>
      <c r="N53" s="3"/>
      <c r="O53" s="3"/>
      <c r="P53" s="3"/>
      <c r="Q53" s="3"/>
      <c r="R53" s="3"/>
      <c r="S53" s="3"/>
      <c r="T53" s="3"/>
      <c r="U53" s="3"/>
      <c r="V53" s="3"/>
      <c r="W53" s="3"/>
    </row>
    <row r="54" spans="1:23" ht="15.75" customHeight="1">
      <c r="A54" s="3"/>
      <c r="B54" s="181" t="s">
        <v>318</v>
      </c>
      <c r="C54" s="166">
        <f>+Print_Mois!$J$307</f>
        <v>58367.79</v>
      </c>
      <c r="D54" s="166">
        <f>+Print_Mois!$D$307</f>
        <v>50864.656595468507</v>
      </c>
      <c r="E54" s="166">
        <f>+Print_Mois!$O$307</f>
        <v>49338.75</v>
      </c>
      <c r="F54" s="167">
        <f t="shared" si="27"/>
        <v>7503.1334045314943</v>
      </c>
      <c r="G54" s="168">
        <f t="shared" si="28"/>
        <v>9029.0400000000009</v>
      </c>
      <c r="H54" s="170">
        <f t="shared" si="29"/>
        <v>0.14751172831470452</v>
      </c>
      <c r="I54" s="171">
        <f t="shared" si="30"/>
        <v>0.18300098806718859</v>
      </c>
      <c r="J54" s="1293"/>
      <c r="K54" s="3"/>
      <c r="L54" s="3"/>
      <c r="M54" s="3"/>
      <c r="N54" s="3"/>
      <c r="O54" s="3"/>
      <c r="P54" s="3"/>
      <c r="Q54" s="3"/>
      <c r="R54" s="3"/>
      <c r="S54" s="3"/>
      <c r="T54" s="3"/>
      <c r="U54" s="3"/>
      <c r="V54" s="3"/>
      <c r="W54" s="3"/>
    </row>
    <row r="55" spans="1:23" ht="15.75" customHeight="1">
      <c r="A55" s="3"/>
      <c r="B55" s="181" t="s">
        <v>319</v>
      </c>
      <c r="C55" s="166">
        <f t="shared" ref="C55:E55" si="31">+C50-SUM(C51:C54)</f>
        <v>187769.19000000006</v>
      </c>
      <c r="D55" s="166">
        <f t="shared" si="31"/>
        <v>148300.45777114178</v>
      </c>
      <c r="E55" s="166">
        <f t="shared" si="31"/>
        <v>109636.72999999998</v>
      </c>
      <c r="F55" s="167">
        <f t="shared" si="27"/>
        <v>39468.73222885828</v>
      </c>
      <c r="G55" s="168">
        <f t="shared" si="28"/>
        <v>78132.460000000079</v>
      </c>
      <c r="H55" s="170">
        <f t="shared" si="29"/>
        <v>0.26614032634859885</v>
      </c>
      <c r="I55" s="171">
        <f t="shared" si="30"/>
        <v>0.71264858045292023</v>
      </c>
      <c r="J55" s="1293"/>
      <c r="K55" s="3"/>
      <c r="L55" s="3"/>
      <c r="M55" s="3"/>
      <c r="N55" s="3"/>
      <c r="O55" s="3"/>
      <c r="P55" s="3"/>
      <c r="Q55" s="3"/>
      <c r="R55" s="3"/>
      <c r="S55" s="3"/>
      <c r="T55" s="3"/>
      <c r="U55" s="3"/>
      <c r="V55" s="3"/>
      <c r="W55" s="3"/>
    </row>
    <row r="56" spans="1:23" ht="15.75" customHeight="1">
      <c r="A56" s="3"/>
      <c r="B56" s="159" t="s">
        <v>306</v>
      </c>
      <c r="C56" s="200">
        <f>+Print_Mois!$L$314</f>
        <v>146120.98000000001</v>
      </c>
      <c r="D56" s="200">
        <f>+Print_Mois!$F$314</f>
        <v>114658.3423251006</v>
      </c>
      <c r="E56" s="200">
        <f>+Print_Mois!$Q$314</f>
        <v>104068.62999999989</v>
      </c>
      <c r="F56" s="201">
        <f t="shared" si="27"/>
        <v>31462.637674899408</v>
      </c>
      <c r="G56" s="202">
        <f t="shared" si="28"/>
        <v>42052.350000000122</v>
      </c>
      <c r="H56" s="203">
        <f t="shared" si="29"/>
        <v>0.27440338868401482</v>
      </c>
      <c r="I56" s="204">
        <f t="shared" si="30"/>
        <v>0.40408286339505156</v>
      </c>
      <c r="J56" s="1293"/>
      <c r="K56" s="3"/>
      <c r="L56" s="3"/>
      <c r="M56" s="3"/>
      <c r="N56" s="3"/>
      <c r="O56" s="3"/>
      <c r="P56" s="3"/>
      <c r="Q56" s="3"/>
      <c r="R56" s="3"/>
      <c r="S56" s="3"/>
      <c r="T56" s="3"/>
      <c r="U56" s="3"/>
      <c r="V56" s="3"/>
      <c r="W56" s="3"/>
    </row>
    <row r="57" spans="1:23" ht="15.75" customHeight="1">
      <c r="A57" s="3"/>
      <c r="B57" s="165" t="s">
        <v>307</v>
      </c>
      <c r="C57" s="166">
        <f>+Print_Mois!$J$295/Print_Mois!$J$172</f>
        <v>278.31592741935486</v>
      </c>
      <c r="D57" s="166">
        <f>+IFERROR(Print_Mois!$D$295/Print_Mois!$D$172,"")</f>
        <v>235.61065603664355</v>
      </c>
      <c r="E57" s="166">
        <f>+Print_Mois!$O$295/Print_Mois!$O$172</f>
        <v>244.26947580645162</v>
      </c>
      <c r="F57" s="167">
        <f t="shared" si="27"/>
        <v>42.705271382711317</v>
      </c>
      <c r="G57" s="168">
        <f t="shared" si="28"/>
        <v>34.04645161290324</v>
      </c>
      <c r="H57" s="170">
        <f t="shared" si="29"/>
        <v>0.18125356510220633</v>
      </c>
      <c r="I57" s="171">
        <f t="shared" si="30"/>
        <v>0.1393807044474118</v>
      </c>
      <c r="J57" s="1293"/>
      <c r="K57" s="3"/>
      <c r="L57" s="3"/>
      <c r="M57" s="3"/>
      <c r="N57" s="3"/>
      <c r="O57" s="3"/>
      <c r="P57" s="3"/>
      <c r="Q57" s="3"/>
      <c r="R57" s="3"/>
      <c r="S57" s="3"/>
      <c r="T57" s="3"/>
      <c r="U57" s="3"/>
      <c r="V57" s="3"/>
      <c r="W57" s="3"/>
    </row>
    <row r="58" spans="1:23" ht="15.75" customHeight="1">
      <c r="A58" s="3"/>
      <c r="B58" s="165" t="s">
        <v>308</v>
      </c>
      <c r="C58" s="166">
        <f>+Print_Mois!$J$297/Print_Mois!$J$175</f>
        <v>560.21913978494626</v>
      </c>
      <c r="D58" s="166">
        <f>+IFERROR(Print_Mois!$D$297/Print_Mois!$D$175,"")</f>
        <v>251.31941311444228</v>
      </c>
      <c r="E58" s="166">
        <f>+Print_Mois!$O$297/Print_Mois!$O$175</f>
        <v>315.36573643410856</v>
      </c>
      <c r="F58" s="167">
        <f t="shared" si="27"/>
        <v>308.89972667050398</v>
      </c>
      <c r="G58" s="168">
        <f t="shared" si="28"/>
        <v>244.85340335083771</v>
      </c>
      <c r="H58" s="170">
        <f t="shared" si="29"/>
        <v>1.2291120802905966</v>
      </c>
      <c r="I58" s="171">
        <f t="shared" si="30"/>
        <v>0.77641092567453518</v>
      </c>
      <c r="J58" s="1293"/>
      <c r="K58" s="3"/>
      <c r="L58" s="3"/>
      <c r="M58" s="3"/>
      <c r="N58" s="3"/>
      <c r="O58" s="3"/>
      <c r="P58" s="3"/>
      <c r="Q58" s="3"/>
      <c r="R58" s="3"/>
      <c r="S58" s="3"/>
      <c r="T58" s="3"/>
      <c r="U58" s="3"/>
      <c r="V58" s="3"/>
      <c r="W58" s="3"/>
    </row>
    <row r="59" spans="1:23" ht="15.75" customHeight="1">
      <c r="A59" s="3"/>
      <c r="B59" s="205" t="s">
        <v>122</v>
      </c>
      <c r="C59" s="184">
        <f>+Print_Mois!$L$320</f>
        <v>6274.69</v>
      </c>
      <c r="D59" s="184">
        <f>+Print_Mois!$F$320</f>
        <v>0</v>
      </c>
      <c r="E59" s="184">
        <f>+Print_Mois!$Q$320</f>
        <v>113.92</v>
      </c>
      <c r="F59" s="185">
        <f t="shared" si="27"/>
        <v>6274.69</v>
      </c>
      <c r="G59" s="186">
        <f t="shared" si="28"/>
        <v>6160.7699999999995</v>
      </c>
      <c r="H59" s="187" t="str">
        <f t="shared" si="29"/>
        <v/>
      </c>
      <c r="I59" s="188">
        <f t="shared" si="30"/>
        <v>54.079792837078649</v>
      </c>
      <c r="J59" s="129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0.48739209067146394</v>
      </c>
      <c r="D62" s="169">
        <f>+Print_Mois!$Z$433/Print_Mois!$Z$407</f>
        <v>0.4698178647576407</v>
      </c>
      <c r="E62" s="169">
        <f>+Print_Mois!$AL$433/Print_Mois!$AL$407</f>
        <v>0.55715613235984507</v>
      </c>
      <c r="F62" s="172">
        <f t="shared" ref="F62:G67" si="32">+IFERROR($C62-D62,"")</f>
        <v>1.7574225913823238E-2</v>
      </c>
      <c r="G62" s="173">
        <f t="shared" si="32"/>
        <v>-6.9764041688381129E-2</v>
      </c>
      <c r="H62" s="170">
        <f t="shared" ref="H62:H67" si="33">+IFERROR(F62/ABS($D62),"")</f>
        <v>3.7406465850099255E-2</v>
      </c>
      <c r="I62" s="171">
        <f t="shared" ref="I62:I67" si="34">+IFERROR(G62/ABS($E62),"")</f>
        <v>-0.12521452719706097</v>
      </c>
      <c r="J62" s="129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93"/>
      <c r="K63" s="3"/>
      <c r="L63" s="3"/>
      <c r="M63" s="3"/>
      <c r="N63" s="3"/>
      <c r="O63" s="3"/>
      <c r="P63" s="3"/>
      <c r="Q63" s="3"/>
      <c r="R63" s="3"/>
      <c r="S63" s="3"/>
      <c r="T63" s="3"/>
      <c r="U63" s="3"/>
      <c r="V63" s="3"/>
      <c r="W63" s="3"/>
    </row>
    <row r="64" spans="1:23" ht="15.75" customHeight="1">
      <c r="A64" s="3"/>
      <c r="B64" s="181" t="s">
        <v>323</v>
      </c>
      <c r="C64" s="166">
        <f>N17+Print_Mois!$AF$414+Print_Mois!$AF$434</f>
        <v>11926.169999999998</v>
      </c>
      <c r="D64" s="166">
        <f>+Print_Mois!$Z$414+Print_Mois!$Z$434</f>
        <v>21347.25</v>
      </c>
      <c r="E64" s="166">
        <f>+Print_Mois!$AL$414+Print_Mois!$AL$434</f>
        <v>25120.85</v>
      </c>
      <c r="F64" s="167">
        <f t="shared" si="32"/>
        <v>-9421.0800000000017</v>
      </c>
      <c r="G64" s="168">
        <f t="shared" si="32"/>
        <v>-13194.68</v>
      </c>
      <c r="H64" s="170">
        <f t="shared" si="33"/>
        <v>-0.4413252292449848</v>
      </c>
      <c r="I64" s="171">
        <f t="shared" si="34"/>
        <v>-0.52524815044076933</v>
      </c>
      <c r="J64" s="1293"/>
      <c r="K64" s="3"/>
      <c r="L64" s="3"/>
      <c r="M64" s="3"/>
      <c r="N64" s="3"/>
      <c r="O64" s="3"/>
      <c r="P64" s="3"/>
      <c r="Q64" s="3"/>
      <c r="R64" s="3"/>
      <c r="S64" s="3"/>
      <c r="T64" s="3"/>
      <c r="U64" s="3"/>
      <c r="V64" s="3"/>
      <c r="W64" s="3"/>
    </row>
    <row r="65" spans="1:23" ht="15.75" customHeight="1">
      <c r="A65" s="3"/>
      <c r="B65" s="181" t="s">
        <v>324</v>
      </c>
      <c r="C65" s="166">
        <f>+Print_Mois!$AF$452-Print_Mois!$AF$434</f>
        <v>110773.56</v>
      </c>
      <c r="D65" s="166">
        <f>+Print_Mois!$Z$452-Print_Mois!$Z$434</f>
        <v>114004.88028366114</v>
      </c>
      <c r="E65" s="166">
        <f>+Print_Mois!$AL$452-Print_Mois!$AL$434</f>
        <v>121945.15999999996</v>
      </c>
      <c r="F65" s="167">
        <f t="shared" si="32"/>
        <v>-3231.3202836611454</v>
      </c>
      <c r="G65" s="168">
        <f t="shared" si="32"/>
        <v>-11171.599999999962</v>
      </c>
      <c r="H65" s="170">
        <f t="shared" si="33"/>
        <v>-2.8343701389108418E-2</v>
      </c>
      <c r="I65" s="171">
        <f t="shared" si="34"/>
        <v>-9.1611672000758093E-2</v>
      </c>
      <c r="J65" s="1293"/>
      <c r="K65" s="3"/>
      <c r="L65" s="3"/>
      <c r="M65" s="3"/>
      <c r="N65" s="3"/>
      <c r="O65" s="3"/>
      <c r="P65" s="3"/>
      <c r="Q65" s="3"/>
      <c r="R65" s="3"/>
      <c r="S65" s="3"/>
      <c r="T65" s="3"/>
      <c r="U65" s="3"/>
      <c r="V65" s="3"/>
      <c r="W65" s="3"/>
    </row>
    <row r="66" spans="1:23" ht="15.75" customHeight="1">
      <c r="A66" s="3"/>
      <c r="B66" s="181" t="s">
        <v>325</v>
      </c>
      <c r="C66" s="166">
        <f>+Print_Mois!$AF$415</f>
        <v>24123.97</v>
      </c>
      <c r="D66" s="166">
        <f>+Print_Mois!$Z$415</f>
        <v>21410.771161271903</v>
      </c>
      <c r="E66" s="166">
        <f>+Print_Mois!$AL$415</f>
        <v>-9194.7100000000009</v>
      </c>
      <c r="F66" s="167">
        <f t="shared" si="32"/>
        <v>2713.1988387280981</v>
      </c>
      <c r="G66" s="168">
        <f t="shared" si="32"/>
        <v>33318.68</v>
      </c>
      <c r="H66" s="170">
        <f t="shared" si="33"/>
        <v>0.12672121047352883</v>
      </c>
      <c r="I66" s="171">
        <f t="shared" si="34"/>
        <v>3.6236792677528706</v>
      </c>
      <c r="J66" s="1293"/>
      <c r="K66" s="3"/>
      <c r="L66" s="3"/>
      <c r="M66" s="3"/>
      <c r="N66" s="3"/>
      <c r="O66" s="3"/>
      <c r="P66" s="3"/>
      <c r="Q66" s="3"/>
      <c r="R66" s="3"/>
      <c r="S66" s="3"/>
      <c r="T66" s="3"/>
      <c r="U66" s="3"/>
      <c r="V66" s="3"/>
      <c r="W66" s="3"/>
    </row>
    <row r="67" spans="1:23">
      <c r="A67" s="3"/>
      <c r="B67" s="183" t="s">
        <v>326</v>
      </c>
      <c r="C67" s="184">
        <f>+Print_Mois!$AF$481-C32-C15</f>
        <v>24.600000000005821</v>
      </c>
      <c r="D67" s="184">
        <f>+Print_Mois!$Z$481-D32-D15</f>
        <v>0</v>
      </c>
      <c r="E67" s="184">
        <f>+Print_Mois!$AL$481-E32-E15</f>
        <v>26653.53</v>
      </c>
      <c r="F67" s="185">
        <f t="shared" si="32"/>
        <v>24.600000000005821</v>
      </c>
      <c r="G67" s="186">
        <f t="shared" si="32"/>
        <v>-26628.929999999993</v>
      </c>
      <c r="H67" s="187" t="str">
        <f t="shared" si="33"/>
        <v/>
      </c>
      <c r="I67" s="188">
        <f t="shared" si="34"/>
        <v>-0.99907704532945518</v>
      </c>
      <c r="J67" s="129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125010.95</v>
      </c>
      <c r="D70" s="166">
        <f>+Print_Mois!$Z$419-Print_Mois!$Z$415+Print_Mois!$Z$434+Print_Mois!$Z$435+Print_Mois!$Z$436</f>
        <v>152130.14927586383</v>
      </c>
      <c r="E70" s="166">
        <f>+Print_Mois!$AL$419-Print_Mois!$AL$415+Print_Mois!$AL$434+Print_Mois!$AL$435+Print_Mois!$AL$436</f>
        <v>124132.52000000002</v>
      </c>
      <c r="F70" s="225">
        <f t="shared" ref="F70:G77" si="35">+IFERROR($C70-D70,"")</f>
        <v>-27119.199275863837</v>
      </c>
      <c r="G70" s="226">
        <f t="shared" si="35"/>
        <v>878.42999999997846</v>
      </c>
      <c r="H70" s="170">
        <f t="shared" ref="H70:H77" si="36">+IFERROR(F70/ABS($D70),"")</f>
        <v>-0.17826314773863453</v>
      </c>
      <c r="I70" s="171">
        <f t="shared" ref="I70:I77" si="37">+IFERROR(G70/ABS($E70),"")</f>
        <v>7.0765501256236348E-3</v>
      </c>
      <c r="J70" s="1292" t="s">
        <v>3923</v>
      </c>
      <c r="K70" s="3"/>
      <c r="L70" s="3"/>
      <c r="M70" s="3"/>
      <c r="N70" s="3"/>
      <c r="O70" s="3"/>
      <c r="P70" s="3"/>
      <c r="Q70" s="3"/>
      <c r="R70" s="3"/>
      <c r="S70" s="3"/>
      <c r="T70" s="3"/>
      <c r="U70" s="3"/>
      <c r="V70" s="3"/>
      <c r="W70" s="3"/>
    </row>
    <row r="71" spans="1:23" ht="15.75" customHeight="1">
      <c r="A71" s="3"/>
      <c r="B71" s="181" t="s">
        <v>329</v>
      </c>
      <c r="C71" s="169">
        <f>+C70/Print_Mois!$AF$407</f>
        <v>0.23040565130764773</v>
      </c>
      <c r="D71" s="169">
        <f>+D70/Print_Mois!$Z$407</f>
        <v>0.24510796195246676</v>
      </c>
      <c r="E71" s="169">
        <f>+E70/Print_Mois!$AL$407</f>
        <v>0.25819686111541468</v>
      </c>
      <c r="F71" s="172">
        <f t="shared" si="35"/>
        <v>-1.4702310644819028E-2</v>
      </c>
      <c r="G71" s="173">
        <f t="shared" si="35"/>
        <v>-2.7791209807766948E-2</v>
      </c>
      <c r="H71" s="170">
        <f t="shared" si="36"/>
        <v>-5.9982999033177935E-2</v>
      </c>
      <c r="I71" s="171">
        <f t="shared" si="37"/>
        <v>-0.10763573843503932</v>
      </c>
      <c r="J71" s="129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493861.09</v>
      </c>
      <c r="D72" s="166">
        <f>+Print_Mois!$Z$466+Print_Mois!$Z$433+Print_Mois!$Z$437+Print_Mois!$Z$439+SUM(Print_Mois!$Z$440:$Z$448)+Print_Mois!$Z$438</f>
        <v>492609.2993178076</v>
      </c>
      <c r="E72" s="166">
        <f>+Print_Mois!$AL$466+Print_Mois!$AL$433+Print_Mois!$AL$437+Print_Mois!$AL$439+SUM(Print_Mois!$AL$440:$AL$448)+Print_Mois!$AL$438</f>
        <v>423487.85000000009</v>
      </c>
      <c r="F72" s="167">
        <f t="shared" si="35"/>
        <v>1251.7906821924262</v>
      </c>
      <c r="G72" s="168">
        <f t="shared" si="35"/>
        <v>70373.239999999932</v>
      </c>
      <c r="H72" s="170">
        <f t="shared" si="36"/>
        <v>2.5411430192770917E-3</v>
      </c>
      <c r="I72" s="171">
        <f t="shared" si="37"/>
        <v>0.16617534599871028</v>
      </c>
      <c r="J72" s="1293"/>
      <c r="K72" s="3"/>
      <c r="L72" s="3"/>
      <c r="M72" s="3"/>
      <c r="N72" s="3"/>
      <c r="O72" s="3"/>
      <c r="P72" s="3"/>
      <c r="Q72" s="3"/>
      <c r="R72" s="3"/>
      <c r="S72" s="3"/>
      <c r="T72" s="3"/>
      <c r="U72" s="3"/>
      <c r="V72" s="3"/>
      <c r="W72" s="3"/>
    </row>
    <row r="73" spans="1:23" ht="15.75" customHeight="1">
      <c r="A73" s="3"/>
      <c r="B73" s="181" t="s">
        <v>331</v>
      </c>
      <c r="C73" s="169">
        <f>+C72/Print_Mois!$AF$407</f>
        <v>0.91022735285952816</v>
      </c>
      <c r="D73" s="169">
        <f>+D72/Print_Mois!$Z$407</f>
        <v>0.79367871503020249</v>
      </c>
      <c r="E73" s="169">
        <f>+E72/Print_Mois!$AL$407</f>
        <v>0.88085888847270299</v>
      </c>
      <c r="F73" s="172">
        <f t="shared" si="35"/>
        <v>0.11654863782932567</v>
      </c>
      <c r="G73" s="173">
        <f t="shared" si="35"/>
        <v>2.9368464386825166E-2</v>
      </c>
      <c r="H73" s="170">
        <f t="shared" si="36"/>
        <v>0.14684611748078763</v>
      </c>
      <c r="I73" s="171">
        <f t="shared" si="37"/>
        <v>3.3340714127033828E-2</v>
      </c>
      <c r="J73" s="1293"/>
      <c r="K73" s="3"/>
      <c r="L73" s="3"/>
      <c r="M73" s="3"/>
      <c r="N73" s="3"/>
      <c r="O73" s="3"/>
      <c r="P73" s="3"/>
      <c r="Q73" s="3"/>
      <c r="R73" s="3"/>
      <c r="S73" s="3"/>
      <c r="T73" s="3"/>
      <c r="U73" s="3"/>
      <c r="V73" s="3"/>
      <c r="W73" s="3"/>
    </row>
    <row r="74" spans="1:23" ht="15.75" customHeight="1">
      <c r="A74" s="1"/>
      <c r="B74" s="211" t="s">
        <v>332</v>
      </c>
      <c r="C74" s="200">
        <f>+Print_Mois!$AF$483+Print_Mois!$AF$415</f>
        <v>42287.499999999825</v>
      </c>
      <c r="D74" s="200">
        <f>+Print_Mois!$Z$483+Print_Mois!$Z$415</f>
        <v>82361.939293329619</v>
      </c>
      <c r="E74" s="200">
        <f>+Print_Mois!$AL$483+Print_Mois!$AL$415</f>
        <v>31579.119999999522</v>
      </c>
      <c r="F74" s="201">
        <f t="shared" si="35"/>
        <v>-40074.439293329793</v>
      </c>
      <c r="G74" s="202">
        <f t="shared" si="35"/>
        <v>10708.380000000303</v>
      </c>
      <c r="H74" s="203">
        <f t="shared" si="36"/>
        <v>-0.48656502793852219</v>
      </c>
      <c r="I74" s="204">
        <f t="shared" si="37"/>
        <v>0.33909684627058845</v>
      </c>
      <c r="J74" s="1293"/>
      <c r="K74" s="1"/>
      <c r="L74" s="1"/>
      <c r="M74" s="1"/>
      <c r="N74" s="1"/>
      <c r="O74" s="1"/>
      <c r="P74" s="1"/>
      <c r="Q74" s="1"/>
      <c r="R74" s="1"/>
      <c r="S74" s="1"/>
      <c r="T74" s="1"/>
      <c r="U74" s="1"/>
      <c r="V74" s="1"/>
      <c r="W74" s="1"/>
    </row>
    <row r="75" spans="1:23" ht="15.75" customHeight="1">
      <c r="A75" s="3"/>
      <c r="B75" s="165" t="s">
        <v>333</v>
      </c>
      <c r="C75" s="227">
        <f>+C74/Print_Mois!$AF$406</f>
        <v>9.9849338534346733E-3</v>
      </c>
      <c r="D75" s="227">
        <f>+D74/Print_Mois!$Z$406</f>
        <v>1.892854150878839E-2</v>
      </c>
      <c r="E75" s="227">
        <f>+E74/Print_Mois!$AL$406</f>
        <v>9.1039869035007513E-3</v>
      </c>
      <c r="F75" s="172">
        <f t="shared" si="35"/>
        <v>-8.9436076553537167E-3</v>
      </c>
      <c r="G75" s="173">
        <f t="shared" si="35"/>
        <v>8.8094694993392196E-4</v>
      </c>
      <c r="H75" s="170">
        <f t="shared" si="36"/>
        <v>-0.4724932267603007</v>
      </c>
      <c r="I75" s="171">
        <f t="shared" si="37"/>
        <v>9.6764962347998529E-2</v>
      </c>
      <c r="J75" s="1293"/>
      <c r="K75" s="3"/>
      <c r="L75" s="3"/>
      <c r="M75" s="3"/>
      <c r="N75" s="3"/>
      <c r="O75" s="3"/>
      <c r="P75" s="3"/>
      <c r="Q75" s="3"/>
      <c r="R75" s="3"/>
      <c r="S75" s="3"/>
      <c r="T75" s="3"/>
      <c r="U75" s="3"/>
      <c r="V75" s="3"/>
      <c r="W75" s="3"/>
    </row>
    <row r="76" spans="1:23" ht="15.75" customHeight="1">
      <c r="A76" s="1"/>
      <c r="B76" s="211" t="s">
        <v>334</v>
      </c>
      <c r="C76" s="200">
        <f>N9+Print_Mois!$AF$498</f>
        <v>-13330.730000000174</v>
      </c>
      <c r="D76" s="200">
        <f>+Print_Mois!$Z$498</f>
        <v>51434.501465391055</v>
      </c>
      <c r="E76" s="200">
        <f>+Print_Mois!$AL$498</f>
        <v>-795.17000000047847</v>
      </c>
      <c r="F76" s="201">
        <f t="shared" si="35"/>
        <v>-64765.231465391233</v>
      </c>
      <c r="G76" s="202">
        <f t="shared" si="35"/>
        <v>-12535.559999999696</v>
      </c>
      <c r="H76" s="203">
        <f t="shared" si="36"/>
        <v>-1.2591787539531238</v>
      </c>
      <c r="I76" s="204">
        <f t="shared" si="37"/>
        <v>-15.764628947259268</v>
      </c>
      <c r="J76" s="1293"/>
      <c r="K76" s="1"/>
      <c r="L76" s="1"/>
      <c r="M76" s="1"/>
      <c r="N76" s="1"/>
      <c r="O76" s="1"/>
      <c r="P76" s="1"/>
      <c r="Q76" s="1"/>
      <c r="R76" s="1"/>
      <c r="S76" s="1"/>
      <c r="T76" s="1"/>
      <c r="U76" s="1"/>
      <c r="V76" s="1"/>
      <c r="W76" s="1"/>
    </row>
    <row r="77" spans="1:23" ht="15.75" customHeight="1">
      <c r="A77" s="3"/>
      <c r="B77" s="183" t="s">
        <v>335</v>
      </c>
      <c r="C77" s="228">
        <f>+C76/Print_Mois!$AF$406</f>
        <v>-3.1476549161808926E-3</v>
      </c>
      <c r="D77" s="228">
        <f>+D76/Print_Mois!$Z$406</f>
        <v>1.1820752453437444E-2</v>
      </c>
      <c r="E77" s="228">
        <f>+E76/Print_Mois!$AL$406</f>
        <v>-2.2924062690984288E-4</v>
      </c>
      <c r="F77" s="229">
        <f t="shared" si="35"/>
        <v>-1.4968407369618337E-2</v>
      </c>
      <c r="G77" s="230">
        <f t="shared" si="35"/>
        <v>-2.9184142892710496E-3</v>
      </c>
      <c r="H77" s="187">
        <f t="shared" si="36"/>
        <v>-1.2662821109383406</v>
      </c>
      <c r="I77" s="188">
        <f t="shared" si="37"/>
        <v>-12.730790037574016</v>
      </c>
      <c r="J77" s="129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-17237.500000000175</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10191.269999999826</v>
      </c>
      <c r="D84" s="109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Février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Février 2026</v>
      </c>
      <c r="C87" s="917">
        <f>+C76</f>
        <v>-13330.730000000174</v>
      </c>
      <c r="D87" s="908">
        <f>+Print_AAD!AF498</f>
        <v>-47697.809999999634</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Février 2026</v>
      </c>
      <c r="C88" s="918">
        <f>+D76</f>
        <v>51434.501465391055</v>
      </c>
      <c r="D88" s="909">
        <f>+Print_AAD!Z498</f>
        <v>33437.020705806746</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Février 2025</v>
      </c>
      <c r="C89" s="921">
        <f>+E76</f>
        <v>-795.17000000047847</v>
      </c>
      <c r="D89" s="911">
        <f>+Print_AAD!AL498</f>
        <v>-4464.3500000016065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T459" zoomScale="80" zoomScaleNormal="80" workbookViewId="0">
      <selection activeCell="AF503" sqref="AF503"/>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Février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97" t="s">
        <v>343</v>
      </c>
      <c r="E3" s="1298"/>
      <c r="F3" s="1299"/>
      <c r="G3" s="1302"/>
      <c r="H3" s="1298"/>
      <c r="I3" s="1299"/>
      <c r="J3" s="1302" t="s">
        <v>344</v>
      </c>
      <c r="K3" s="1298"/>
      <c r="L3" s="1299"/>
      <c r="M3" s="1302" t="s">
        <v>3310</v>
      </c>
      <c r="N3" s="1299"/>
      <c r="O3" s="1297" t="s">
        <v>345</v>
      </c>
      <c r="P3" s="1298"/>
      <c r="Q3" s="1299"/>
      <c r="R3" s="1300" t="s">
        <v>3312</v>
      </c>
      <c r="S3" s="130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2560324.3607109338</v>
      </c>
      <c r="G5" s="247"/>
      <c r="H5" s="247"/>
      <c r="I5" s="249"/>
      <c r="J5" s="246"/>
      <c r="K5" s="250"/>
      <c r="L5" s="248">
        <f>-SUMIFS(BV_Data_An_Cour!$O:$O,BV_Data_An_Cour!$X:$X,"Oui",BV_Data_An_Cour!$U:$U,$B5)</f>
        <v>2463351.37</v>
      </c>
      <c r="M5" s="251"/>
      <c r="N5" s="252"/>
      <c r="O5" s="246"/>
      <c r="P5" s="250"/>
      <c r="Q5" s="248">
        <f t="array" ref="Q5">+INDEX('Réel 2024'!$A$2:$AO$501,MATCH($A5,'Réel 2024'!$A$2:$A$501,0),MATCH(Q$2,'Réel 2024'!$A$2:$AO$2,0))</f>
        <v>2075892.06</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v>
      </c>
      <c r="E6" s="254">
        <f>IF(D6=0,0,F6/D6)</f>
        <v>1839.3978952721661</v>
      </c>
      <c r="F6" s="254">
        <f>+INDEX('Budget original'!$A$2:$AO$501,MATCH($A6,'Budget original'!$A$2:$A$501,0),MATCH(F$2,'Budget original'!$A$2:$AO$2,0))</f>
        <v>25751.570533810325</v>
      </c>
      <c r="G6" s="255"/>
      <c r="H6" s="254"/>
      <c r="I6" s="254"/>
      <c r="J6" s="255">
        <f>-SUMIFS(BV_Data_An_Cour!$O:$O,BV_Data_An_Cour!$U:$U,$B6,BV_Data_An_Cour!$V:$V,$C6,BV_Data_An_Cour!$W:$W,J$2)</f>
        <v>5</v>
      </c>
      <c r="K6" s="254">
        <f t="shared" ref="K6:K12" si="0">IF(J6=0,0,L6/J6)</f>
        <v>1269.8679999999993</v>
      </c>
      <c r="L6" s="256">
        <f>-SUMIFS(BV_Data_An_Cour!$O:$O,BV_Data_An_Cour!$U:$U,$B6,BV_Data_An_Cour!$V:$V,$C6,BV_Data_An_Cour!$W:$W,L$2)</f>
        <v>6349.3399999999965</v>
      </c>
      <c r="M6" s="255">
        <f t="shared" ref="M6:M12" si="1">J6-D6</f>
        <v>-9</v>
      </c>
      <c r="N6" s="256">
        <f t="shared" ref="N6:N12" si="2">L6-F6</f>
        <v>-19402.230533810329</v>
      </c>
      <c r="O6" s="255">
        <f>+INDEX('Réel 2024'!$A$2:$AO$501,MATCH($A6,'Réel 2024'!$A$2:$A$501,0),MATCH(O$2,'Réel 2024'!$A$2:$AO$2,0))</f>
        <v>4</v>
      </c>
      <c r="P6" s="254">
        <f t="shared" ref="P6:P12" si="3">IF(O6=0,0,Q6/O6)</f>
        <v>1345.9624999999976</v>
      </c>
      <c r="Q6" s="256">
        <f t="array" ref="Q6">+INDEX('Réel 2024'!$A$2:$AO$501,MATCH($A6,'Réel 2024'!$A$2:$A$501,0),MATCH(Q$2,'Réel 2024'!$A$2:$AO$2,0))</f>
        <v>5383.8499999999904</v>
      </c>
      <c r="R6" s="255">
        <f t="shared" ref="R6:R12" si="4">J6-O6</f>
        <v>1</v>
      </c>
      <c r="S6" s="256">
        <f t="shared" ref="S6:S12" si="5">L6-Q6</f>
        <v>965.49000000000615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34</v>
      </c>
      <c r="E7" s="254">
        <f t="shared" ref="E7:E12" si="6">IF(D7=0,0,F7/D7)</f>
        <v>2490.391062883712</v>
      </c>
      <c r="F7" s="254">
        <f>+INDEX('Budget original'!$A$2:$AO$501,MATCH($A7,'Budget original'!$A$2:$A$501,0),MATCH(F$2,'Budget original'!$A$2:$AO$2,0))</f>
        <v>84673.296138046207</v>
      </c>
      <c r="G7" s="255"/>
      <c r="H7" s="254"/>
      <c r="I7" s="254"/>
      <c r="J7" s="255">
        <f>-SUMIFS(BV_Data_An_Cour!$O:$O,BV_Data_An_Cour!$U:$U,$B7,BV_Data_An_Cour!$V:$V,$C7,BV_Data_An_Cour!$W:$W,J$2)</f>
        <v>36</v>
      </c>
      <c r="K7" s="254">
        <f t="shared" si="0"/>
        <v>2052.3169444444388</v>
      </c>
      <c r="L7" s="256">
        <f>-SUMIFS(BV_Data_An_Cour!$O:$O,BV_Data_An_Cour!$U:$U,$B7,BV_Data_An_Cour!$V:$V,$C7,BV_Data_An_Cour!$W:$W,L$2)</f>
        <v>73883.4099999998</v>
      </c>
      <c r="M7" s="255">
        <f t="shared" si="1"/>
        <v>2</v>
      </c>
      <c r="N7" s="256">
        <f t="shared" si="2"/>
        <v>-10789.886138046408</v>
      </c>
      <c r="O7" s="255">
        <f t="array" ref="O7">+INDEX('Réel 2024'!$A$2:$AO$501,MATCH($A7,'Réel 2024'!$A$2:$A$501,0),MATCH(O$2,'Réel 2024'!$A$2:$AO$2,0))</f>
        <v>26</v>
      </c>
      <c r="P7" s="254">
        <f t="shared" si="3"/>
        <v>2574.7484615384578</v>
      </c>
      <c r="Q7" s="256">
        <f t="array" ref="Q7">+INDEX('Réel 2024'!$A$2:$AO$501,MATCH($A7,'Réel 2024'!$A$2:$A$501,0),MATCH(Q$2,'Réel 2024'!$A$2:$AO$2,0))</f>
        <v>66943.459999999905</v>
      </c>
      <c r="R7" s="255">
        <f t="shared" si="4"/>
        <v>10</v>
      </c>
      <c r="S7" s="256">
        <f t="shared" si="5"/>
        <v>6939.9499999998952</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48</v>
      </c>
      <c r="E13" s="260">
        <f>IF(D13&lt;=0,0,F13/D13)</f>
        <v>2300.5180556636778</v>
      </c>
      <c r="F13" s="261">
        <f>+SUM(F6:F12)</f>
        <v>110424.86667185654</v>
      </c>
      <c r="G13" s="262"/>
      <c r="H13" s="260"/>
      <c r="I13" s="261"/>
      <c r="J13" s="262">
        <f t="shared" ref="J13" si="7">+SUM(J6:J12)</f>
        <v>41</v>
      </c>
      <c r="K13" s="260">
        <f>IF(J13&lt;=0,0,L13/J13)</f>
        <v>1956.8963414634097</v>
      </c>
      <c r="L13" s="261">
        <f t="shared" ref="L13" si="8">+SUM(L6:L12)</f>
        <v>80232.749999999796</v>
      </c>
      <c r="M13" s="262">
        <f>+SUM(M6:M12)</f>
        <v>-7</v>
      </c>
      <c r="N13" s="261">
        <f t="shared" ref="N13" si="9">+SUM(N6:N12)</f>
        <v>-30192.116671856737</v>
      </c>
      <c r="O13" s="262">
        <f>+SUM(O6:O12)</f>
        <v>30</v>
      </c>
      <c r="P13" s="260">
        <f>IF(O13&lt;=0,0,Q13/O13)</f>
        <v>2410.9103333333301</v>
      </c>
      <c r="Q13" s="261">
        <f t="shared" ref="Q13" si="10">+SUM(Q6:Q12)</f>
        <v>72327.309999999896</v>
      </c>
      <c r="R13" s="262">
        <f t="shared" ref="R13:S13" si="11">+SUM(R6:R12)</f>
        <v>11</v>
      </c>
      <c r="S13" s="261">
        <f t="shared" si="11"/>
        <v>7905.4399999999014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22">
        <f>IF(D13=0,0,M13/D13)</f>
        <v>-0.14583333333333334</v>
      </c>
      <c r="N14" s="923">
        <f>IF(F13=0,0,N13/F13)</f>
        <v>-0.27341773263423519</v>
      </c>
      <c r="O14" s="253"/>
      <c r="P14" s="254"/>
      <c r="Q14" s="263"/>
      <c r="R14" s="922">
        <f>R13/O13</f>
        <v>0.36666666666666664</v>
      </c>
      <c r="S14" s="923">
        <f>IF(Q13=0,0,(S13/Q13))</f>
        <v>0.10930089892738874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1524.8245365854227</v>
      </c>
      <c r="F15" s="248">
        <f>+INDEX('Budget original'!$A$2:$AO$501,MATCH($A15,'Budget original'!$A$2:$A$501,0),MATCH(F$2,'Budget original'!$A$2:$AO$2,0))</f>
        <v>4574.4736097562682</v>
      </c>
      <c r="G15" s="267"/>
      <c r="H15" s="250"/>
      <c r="I15" s="248"/>
      <c r="J15" s="268">
        <f>-SUMIFS(BV_Data_An_Cour!$O:$O,BV_Data_An_Cour!$U:$U,$B15,BV_Data_An_Cour!$V:$V,$C15,BV_Data_An_Cour!$W:$W,J$2)</f>
        <v>1</v>
      </c>
      <c r="K15" s="269">
        <f>IF(J15=0,0,L15/J15)</f>
        <v>2512.1699999999983</v>
      </c>
      <c r="L15" s="269">
        <f>-SUMIFS(BV_Data_An_Cour!$O:$O,BV_Data_An_Cour!$U:$U,$B15,BV_Data_An_Cour!$V:$V,$C15,BV_Data_An_Cour!$W:$W,L$2)</f>
        <v>2512.1699999999983</v>
      </c>
      <c r="M15" s="267">
        <f>J15-D15</f>
        <v>-2</v>
      </c>
      <c r="N15" s="248">
        <f>L15-F15</f>
        <v>-2062.3036097562699</v>
      </c>
      <c r="O15" s="268">
        <f t="array" ref="O15">+INDEX('Réel 2024'!$A$2:$AO$501,MATCH($A15,'Réel 2024'!$A$2:$A$501,0),MATCH(O$2,'Réel 2024'!$A$2:$AO$2,0))</f>
        <v>2</v>
      </c>
      <c r="P15" s="269">
        <f>IF(O15=0,0,Q15/O15)</f>
        <v>1540.699999999995</v>
      </c>
      <c r="Q15" s="269">
        <f t="array" ref="Q15">+INDEX('Réel 2024'!$A$2:$AO$501,MATCH($A15,'Réel 2024'!$A$2:$A$501,0),MATCH(Q$2,'Réel 2024'!$A$2:$AO$2,0))</f>
        <v>3081.3999999999901</v>
      </c>
      <c r="R15" s="267">
        <f>J15-O15</f>
        <v>-1</v>
      </c>
      <c r="S15" s="248">
        <f>L15-Q15</f>
        <v>-569.22999999999183</v>
      </c>
      <c r="T15" s="41"/>
      <c r="U15" s="1101"/>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4</v>
      </c>
      <c r="E17" s="254">
        <f>IF(D17=0,0,F17/D17)</f>
        <v>1300.6851300000001</v>
      </c>
      <c r="F17" s="254">
        <f>+INDEX('Budget original'!$A$2:$AO$501,MATCH($A17,'Budget original'!$A$2:$A$501,0),MATCH(F$2,'Budget original'!$A$2:$AO$2,0))</f>
        <v>5202.7405200000003</v>
      </c>
      <c r="G17" s="255"/>
      <c r="H17" s="254"/>
      <c r="I17" s="254"/>
      <c r="J17" s="267">
        <f>-SUMIFS(BV_Data_An_Cour!$O:$O,BV_Data_An_Cour!$U:$U,$B17,BV_Data_An_Cour!$V:$V,$C17,BV_Data_An_Cour!$W:$W,J$2)</f>
        <v>9</v>
      </c>
      <c r="K17" s="254">
        <f>IF(J17=0,0,L17/J17)</f>
        <v>-17.095555555554004</v>
      </c>
      <c r="L17" s="256">
        <f>-SUMIFS(BV_Data_An_Cour!$O:$O,BV_Data_An_Cour!$U:$U,$B17,BV_Data_An_Cour!$V:$V,$C17,BV_Data_An_Cour!$W:$W,L$2)</f>
        <v>-153.85999999998603</v>
      </c>
      <c r="M17" s="267">
        <f>J17-D17</f>
        <v>5</v>
      </c>
      <c r="N17" s="256">
        <f>L17-F17</f>
        <v>-5356.6005199999863</v>
      </c>
      <c r="O17" s="267">
        <f t="array" ref="O17">+INDEX('Réel 2024'!$A$2:$AO$501,MATCH($A17,'Réel 2024'!$A$2:$A$501,0),MATCH(O$2,'Réel 2024'!$A$2:$AO$2,0))</f>
        <v>8</v>
      </c>
      <c r="P17" s="254">
        <f>IF(O17=0,0,Q17/O17)</f>
        <v>2662.0949999999998</v>
      </c>
      <c r="Q17" s="256">
        <f t="array" ref="Q17">+INDEX('Réel 2024'!$A$2:$AO$501,MATCH($A17,'Réel 2024'!$A$2:$A$501,0),MATCH(Q$2,'Réel 2024'!$A$2:$AO$2,0))</f>
        <v>21296.76</v>
      </c>
      <c r="R17" s="255">
        <f>J17-O17</f>
        <v>1</v>
      </c>
      <c r="S17" s="256">
        <f>L17-Q17</f>
        <v>-21450.619999999984</v>
      </c>
      <c r="T17" s="41"/>
      <c r="U17" s="38"/>
      <c r="V17" s="944"/>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7048.4581497797362</v>
      </c>
      <c r="G19" s="255"/>
      <c r="H19" s="254"/>
      <c r="I19" s="254"/>
      <c r="J19" s="267"/>
      <c r="K19" s="254"/>
      <c r="L19" s="256">
        <f>-SUMIFS(BV_Data_An_Cour!$O:$O,BV_Data_An_Cour!$U:$U,$B19,BV_Data_An_Cour!$V:$V,$C19,BV_Data_An_Cour!$W:$W,L$2)</f>
        <v>5037.25</v>
      </c>
      <c r="M19" s="255"/>
      <c r="N19" s="256">
        <f>L19-F19</f>
        <v>-2011.2081497797362</v>
      </c>
      <c r="O19" s="267"/>
      <c r="P19" s="254"/>
      <c r="Q19" s="256">
        <f t="array" ref="Q19">+INDEX('Réel 2024'!$A$2:$AO$501,MATCH($A19,'Réel 2024'!$A$2:$A$501,0),MATCH(Q$2,'Réel 2024'!$A$2:$AO$2,0))</f>
        <v>6750.4500000000098</v>
      </c>
      <c r="R19" s="255">
        <f>O19-K19</f>
        <v>0</v>
      </c>
      <c r="S19" s="256">
        <f>L19-Q19</f>
        <v>-1713.2000000000098</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2550</v>
      </c>
      <c r="G21" s="255"/>
      <c r="H21" s="254"/>
      <c r="I21" s="254"/>
      <c r="J21" s="255"/>
      <c r="K21" s="254">
        <f>IF(J13=0,0,L21/(J13+J15))</f>
        <v>0</v>
      </c>
      <c r="L21" s="256">
        <f>-SUMIFS(BV_Data_An_Cour!$O:$O,BV_Data_An_Cour!$U:$U,$B21,BV_Data_An_Cour!$V:$V,$C21,BV_Data_An_Cour!$W:$W,L$2)</f>
        <v>0</v>
      </c>
      <c r="M21" s="255"/>
      <c r="N21" s="256">
        <f>L21-F21</f>
        <v>-2550</v>
      </c>
      <c r="O21" s="255"/>
      <c r="P21" s="254"/>
      <c r="Q21" s="256">
        <f t="array" ref="Q21">+INDEX('Réel 2024'!$A$2:$AO$501,MATCH($A21,'Réel 2024'!$A$2:$A$501,0),MATCH(Q$2,'Réel 2024'!$A$2:$AO$2,0))</f>
        <v>615.35</v>
      </c>
      <c r="R21" s="255">
        <f t="shared" ref="R21:R23" si="12">O21-K21</f>
        <v>0</v>
      </c>
      <c r="S21" s="256">
        <f t="shared" ref="S21:S24" si="13">L21-Q21</f>
        <v>-615.35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57630</v>
      </c>
      <c r="G22" s="255"/>
      <c r="H22" s="254"/>
      <c r="I22" s="254"/>
      <c r="J22" s="255"/>
      <c r="K22" s="254">
        <f>IF(J13=0,0,L22/(J13+J15))</f>
        <v>872.38404761904769</v>
      </c>
      <c r="L22" s="256">
        <f>-SUMIFS(BV_Data_An_Cour!$O:$O,BV_Data_An_Cour!$U:$U,$B22,BV_Data_An_Cour!$V:$V,$C22,BV_Data_An_Cour!$W:$W,L$2)</f>
        <v>36640.130000000005</v>
      </c>
      <c r="M22" s="255"/>
      <c r="N22" s="256">
        <f>L22-F22</f>
        <v>-20989.869999999995</v>
      </c>
      <c r="O22" s="255"/>
      <c r="P22" s="254"/>
      <c r="Q22" s="256">
        <f t="array" ref="Q22">+INDEX('Réel 2024'!$A$2:$AO$501,MATCH($A22,'Réel 2024'!$A$2:$A$501,0),MATCH(Q$2,'Réel 2024'!$A$2:$AO$2,0))</f>
        <v>31496.05</v>
      </c>
      <c r="R22" s="255">
        <f t="shared" si="12"/>
        <v>-872.38404761904769</v>
      </c>
      <c r="S22" s="256">
        <f t="shared" si="13"/>
        <v>5144.0800000000054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1020</v>
      </c>
      <c r="G23" s="255"/>
      <c r="H23" s="254"/>
      <c r="I23" s="254"/>
      <c r="J23" s="255"/>
      <c r="K23" s="254">
        <f>IF(J13=0,0,L23/(J13+J15))</f>
        <v>20.825476190476188</v>
      </c>
      <c r="L23" s="256">
        <f>-SUMIFS(BV_Data_An_Cour!$O:$O,BV_Data_An_Cour!$U:$U,$B23,BV_Data_An_Cour!$V:$V,$C23,BV_Data_An_Cour!$W:$W,L$2)</f>
        <v>874.67</v>
      </c>
      <c r="M23" s="267"/>
      <c r="N23" s="256">
        <f>L23-F23</f>
        <v>-145.33000000000004</v>
      </c>
      <c r="O23" s="255"/>
      <c r="P23" s="254"/>
      <c r="Q23" s="256">
        <f t="array" ref="Q23">+INDEX('Réel 2024'!$A$2:$AO$501,MATCH($A23,'Réel 2024'!$A$2:$A$501,0),MATCH(Q$2,'Réel 2024'!$A$2:$AO$2,0))</f>
        <v>443.6</v>
      </c>
      <c r="R23" s="255">
        <f t="shared" si="12"/>
        <v>-20.825476190476188</v>
      </c>
      <c r="S23" s="256">
        <f t="shared" si="13"/>
        <v>431.06999999999994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51</v>
      </c>
      <c r="E24" s="260">
        <f>IF(D24&lt;=0,0,F24/D24)</f>
        <v>1200</v>
      </c>
      <c r="F24" s="261">
        <f>F21+F22+F23</f>
        <v>61200</v>
      </c>
      <c r="G24" s="262"/>
      <c r="H24" s="260"/>
      <c r="I24" s="261"/>
      <c r="J24" s="262">
        <f>+J15+J13</f>
        <v>42</v>
      </c>
      <c r="K24" s="260">
        <f>IF(J24&lt;=0,0,L24/J24)</f>
        <v>893.20952380952383</v>
      </c>
      <c r="L24" s="261">
        <f>L21+L22+L23</f>
        <v>37514.800000000003</v>
      </c>
      <c r="M24" s="275">
        <f>J24-D24</f>
        <v>-9</v>
      </c>
      <c r="N24" s="261">
        <f>L24-F24</f>
        <v>-23685.199999999997</v>
      </c>
      <c r="O24" s="262">
        <f>+O15+O13</f>
        <v>32</v>
      </c>
      <c r="P24" s="260">
        <f>IF(O24&lt;=0,0,Q24/O24)</f>
        <v>1017.3437499999999</v>
      </c>
      <c r="Q24" s="261">
        <f>Q21+Q22+Q23</f>
        <v>32554.999999999996</v>
      </c>
      <c r="R24" s="273"/>
      <c r="S24" s="261">
        <f t="shared" si="13"/>
        <v>4959.8000000000065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-0.38701307189542478</v>
      </c>
      <c r="O25" s="253"/>
      <c r="P25" s="41"/>
      <c r="Q25" s="276"/>
      <c r="R25" s="277"/>
      <c r="S25" s="265">
        <f>IF(Q24=0,0,(S24/Q24))</f>
        <v>0.15235140531408409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55</v>
      </c>
      <c r="E27" s="280">
        <f>IF(D27&lt;=0,0,F27/D27)</f>
        <v>3426.3734354798644</v>
      </c>
      <c r="F27" s="281">
        <f>F13+F17+F24+F19+F15</f>
        <v>188450.53895139255</v>
      </c>
      <c r="G27" s="282"/>
      <c r="H27" s="280"/>
      <c r="I27" s="281"/>
      <c r="J27" s="282">
        <f>+J13+J15+J17</f>
        <v>51</v>
      </c>
      <c r="K27" s="280">
        <f>IF(J27&lt;=0,0,L27/J27)</f>
        <v>2453.7864705882316</v>
      </c>
      <c r="L27" s="281">
        <f>L13+L17+L24+L19+L15</f>
        <v>125143.10999999981</v>
      </c>
      <c r="M27" s="282">
        <f>J27-D27</f>
        <v>-4</v>
      </c>
      <c r="N27" s="281">
        <f>L27-F27</f>
        <v>-63307.428951392736</v>
      </c>
      <c r="O27" s="282">
        <f>+O13+O15+O17</f>
        <v>40</v>
      </c>
      <c r="P27" s="280">
        <f>IF(O27&lt;=0,0,Q27/O27)</f>
        <v>3400.2729999999974</v>
      </c>
      <c r="Q27" s="281">
        <f>Q13+Q17+Q24+Q19+Q15</f>
        <v>136010.9199999999</v>
      </c>
      <c r="R27" s="282">
        <f>J27-O27</f>
        <v>11</v>
      </c>
      <c r="S27" s="281">
        <f>L27-Q27</f>
        <v>-10867.810000000085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2"/>
      <c r="L28" s="893">
        <f>L27/F27</f>
        <v>0.664063423200282</v>
      </c>
      <c r="M28" s="286">
        <f>M27/D27</f>
        <v>-7.2727272727272724E-2</v>
      </c>
      <c r="N28" s="287">
        <f>N27/F27</f>
        <v>-0.335936576799718</v>
      </c>
      <c r="O28" s="283"/>
      <c r="P28" s="284"/>
      <c r="Q28" s="285"/>
      <c r="R28" s="286">
        <f>R27/O27</f>
        <v>0.27500000000000002</v>
      </c>
      <c r="S28" s="287">
        <f>IF(Q27=0,0,S27/Q27)</f>
        <v>-7.9903951829750824E-2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0.32917199110652651</v>
      </c>
      <c r="E31" s="291">
        <f t="shared" ref="E31:E36" si="14">F31/D$24</f>
        <v>742.24631012618568</v>
      </c>
      <c r="F31" s="254">
        <f>+INDEX('Budget original'!$A$2:$AO$501,MATCH($A31,'Budget original'!$A$2:$A$501,0),MATCH(F$2,'Budget original'!$A$2:$AO$2,0))</f>
        <v>37854.561816435467</v>
      </c>
      <c r="G31" s="292"/>
      <c r="H31" s="291"/>
      <c r="I31" s="254"/>
      <c r="J31" s="292">
        <f>L31/(L15+L13+L17)</f>
        <v>0.48358066841617114</v>
      </c>
      <c r="K31" s="291">
        <f t="shared" ref="K31:K40" si="15">IF(L31=0,0,L31/J$24)</f>
        <v>950.93904761904764</v>
      </c>
      <c r="L31" s="254">
        <f>SUMIFS(BV_Data_An_Cour!$O:$O,BV_Data_An_Cour!$U:$U,$B31,BV_Data_An_Cour!$V:$V,$C31,BV_Data_An_Cour!$W:$W,L$2)</f>
        <v>39939.440000000002</v>
      </c>
      <c r="M31" s="253"/>
      <c r="N31" s="276">
        <f t="shared" ref="N31:N53" si="16">L31-F31</f>
        <v>2084.878183564535</v>
      </c>
      <c r="O31" s="1089">
        <f>Q31/(Q13+Q15+Q17)</f>
        <v>0.28012810443918046</v>
      </c>
      <c r="P31" s="291">
        <f t="shared" ref="P31:P40" si="17">Q31/O$24</f>
        <v>846.56</v>
      </c>
      <c r="Q31" s="256">
        <f t="array" ref="Q31">+INDEX('Réel 2024'!$A$2:$AO$501,MATCH($A31,'Réel 2024'!$A$2:$A$501,0),MATCH(Q$2,'Réel 2024'!$A$2:$AO$2,0))</f>
        <v>27089.919999999998</v>
      </c>
      <c r="R31" s="253"/>
      <c r="S31" s="276">
        <f t="shared" ref="S31:S53" si="18">L31-Q31</f>
        <v>12849.520000000004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12240</v>
      </c>
      <c r="G32" s="295"/>
      <c r="H32" s="294"/>
      <c r="I32" s="248"/>
      <c r="J32" s="295">
        <f>L32/L24</f>
        <v>0.24878607909411748</v>
      </c>
      <c r="K32" s="294">
        <f t="shared" si="15"/>
        <v>222.21809523809523</v>
      </c>
      <c r="L32" s="248">
        <f>SUMIFS(BV_Data_An_Cour!$O:$O,BV_Data_An_Cour!$U:$U,$B32,BV_Data_An_Cour!$V:$V,$C32,BV_Data_An_Cour!$W:$W,L$2)</f>
        <v>9333.16</v>
      </c>
      <c r="M32" s="246"/>
      <c r="N32" s="296">
        <f t="shared" si="16"/>
        <v>-2906.84</v>
      </c>
      <c r="O32" s="1090">
        <f>Q32/Q24</f>
        <v>0.24998525572108743</v>
      </c>
      <c r="P32" s="294">
        <f t="shared" si="17"/>
        <v>254.32093750000001</v>
      </c>
      <c r="Q32" s="248">
        <f t="array" ref="Q32">+INDEX('Réel 2024'!$A$2:$AO$501,MATCH($A32,'Réel 2024'!$A$2:$A$501,0),MATCH(Q$2,'Réel 2024'!$A$2:$AO$2,0))</f>
        <v>8138.27</v>
      </c>
      <c r="R32" s="246"/>
      <c r="S32" s="296">
        <f t="shared" si="18"/>
        <v>1194.8899999999994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5865</v>
      </c>
      <c r="G33" s="298"/>
      <c r="H33" s="291"/>
      <c r="I33" s="254"/>
      <c r="J33" s="253"/>
      <c r="K33" s="291">
        <f t="shared" si="15"/>
        <v>74.965238095238092</v>
      </c>
      <c r="L33" s="254">
        <f>SUMIFS(BV_Data_An_Cour!$O:$O,BV_Data_An_Cour!$U:$U,$B33,BV_Data_An_Cour!$V:$V,$C33,BV_Data_An_Cour!$W:$W,L$2)</f>
        <v>3148.54</v>
      </c>
      <c r="M33" s="253"/>
      <c r="N33" s="276">
        <f t="shared" si="16"/>
        <v>-2716.46</v>
      </c>
      <c r="O33" s="253"/>
      <c r="P33" s="291">
        <f t="shared" si="17"/>
        <v>98.328437500000007</v>
      </c>
      <c r="Q33" s="256">
        <f t="array" ref="Q33">+INDEX('Réel 2024'!$A$2:$AO$501,MATCH($A33,'Réel 2024'!$A$2:$A$501,0),MATCH(Q$2,'Réel 2024'!$A$2:$AO$2,0))</f>
        <v>3146.51</v>
      </c>
      <c r="R33" s="253"/>
      <c r="S33" s="276">
        <f t="shared" si="18"/>
        <v>2.0299999999997453</v>
      </c>
      <c r="T33" s="41"/>
      <c r="U33" s="1137"/>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510</v>
      </c>
      <c r="G34" s="298"/>
      <c r="H34" s="291"/>
      <c r="I34" s="254"/>
      <c r="J34" s="253"/>
      <c r="K34" s="291">
        <f t="shared" si="15"/>
        <v>0</v>
      </c>
      <c r="L34" s="254">
        <f>SUMIFS(BV_Data_An_Cour!$O:$O,BV_Data_An_Cour!$U:$U,$B34,BV_Data_An_Cour!$V:$V,$C34,BV_Data_An_Cour!$W:$W,L$2)</f>
        <v>0</v>
      </c>
      <c r="M34" s="253"/>
      <c r="N34" s="276">
        <f t="shared" si="16"/>
        <v>-510</v>
      </c>
      <c r="O34" s="253"/>
      <c r="P34" s="291">
        <f t="shared" si="17"/>
        <v>30.533124999999998</v>
      </c>
      <c r="Q34" s="256">
        <f t="array" ref="Q34">+INDEX('Réel 2024'!$A$2:$AO$501,MATCH($A34,'Réel 2024'!$A$2:$A$501,0),MATCH(Q$2,'Réel 2024'!$A$2:$AO$2,0))</f>
        <v>977.06</v>
      </c>
      <c r="R34" s="253"/>
      <c r="S34" s="276">
        <f t="shared" si="18"/>
        <v>-977.06</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6120</v>
      </c>
      <c r="G35" s="300"/>
      <c r="H35" s="294"/>
      <c r="I35" s="248"/>
      <c r="J35" s="246"/>
      <c r="K35" s="294">
        <f t="shared" si="15"/>
        <v>141.67452380952381</v>
      </c>
      <c r="L35" s="248">
        <f>SUMIFS(BV_Data_An_Cour!$O:$O,BV_Data_An_Cour!$U:$U,$B35,BV_Data_An_Cour!$V:$V,$C35,BV_Data_An_Cour!$W:$W,L$2)</f>
        <v>5950.33</v>
      </c>
      <c r="M35" s="246"/>
      <c r="N35" s="296">
        <f t="shared" si="16"/>
        <v>-169.67000000000007</v>
      </c>
      <c r="O35" s="246"/>
      <c r="P35" s="294">
        <f t="shared" si="17"/>
        <v>268.93781250000001</v>
      </c>
      <c r="Q35" s="256">
        <f t="array" ref="Q35">+INDEX('Réel 2024'!$A$2:$AO$501,MATCH($A35,'Réel 2024'!$A$2:$A$501,0),MATCH(Q$2,'Réel 2024'!$A$2:$AO$2,0))</f>
        <v>8606.01</v>
      </c>
      <c r="R35" s="246"/>
      <c r="S35" s="296">
        <f t="shared" si="18"/>
        <v>-2655.6800000000003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61.421568627450981</v>
      </c>
      <c r="F36" s="254">
        <f>+INDEX('Budget original'!$A$2:$AO$501,MATCH($A36,'Budget original'!$A$2:$A$501,0),MATCH(F$2,'Budget original'!$A$2:$AO$2,0))</f>
        <v>3132.5</v>
      </c>
      <c r="G36" s="298"/>
      <c r="H36" s="291"/>
      <c r="I36" s="254"/>
      <c r="J36" s="253"/>
      <c r="K36" s="291">
        <f t="shared" si="15"/>
        <v>17.108333333333317</v>
      </c>
      <c r="L36" s="301">
        <f>SUMIFS(BV_Data_An_Cour!$O:$O,BV_Data_An_Cour!$U:$U,$B36,BV_Data_An_Cour!$V:$V,$C36,BV_Data_An_Cour!$W:$W,L$2)</f>
        <v>718.54999999999927</v>
      </c>
      <c r="M36" s="41"/>
      <c r="N36" s="276">
        <f t="shared" si="16"/>
        <v>-2413.9500000000007</v>
      </c>
      <c r="O36" s="253"/>
      <c r="P36" s="291">
        <f t="shared" si="17"/>
        <v>137.4765625</v>
      </c>
      <c r="Q36" s="272">
        <f t="array" ref="Q36">+INDEX('Réel 2024'!$A$2:$AO$501,MATCH($A36,'Réel 2024'!$A$2:$A$501,0),MATCH(Q$2,'Réel 2024'!$A$2:$AO$2,0))</f>
        <v>4399.25</v>
      </c>
      <c r="R36" s="253"/>
      <c r="S36" s="276">
        <f t="shared" si="18"/>
        <v>-3680.7000000000007</v>
      </c>
      <c r="T36" s="41"/>
      <c r="U36" s="1282" t="s">
        <v>3948</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419.81904237788046</v>
      </c>
      <c r="F37" s="254">
        <f>+INDEX('Budget original'!$A$2:$AO$501,MATCH($A37,'Budget original'!$A$2:$A$501,0),MATCH(F$2,'Budget original'!$A$2:$AO$2,0))</f>
        <v>21410.771161271903</v>
      </c>
      <c r="G37" s="298"/>
      <c r="H37" s="291"/>
      <c r="I37" s="254"/>
      <c r="J37" s="253"/>
      <c r="K37" s="291">
        <f t="shared" si="15"/>
        <v>574.38023809523816</v>
      </c>
      <c r="L37" s="894">
        <f>SUMIFS(BV_Data_An_Cour!$O:$O,BV_Data_An_Cour!$U:$U,$B37,BV_Data_An_Cour!$V:$V,$C37,BV_Data_An_Cour!$W:$W,L$2)</f>
        <v>24123.97</v>
      </c>
      <c r="M37" s="41"/>
      <c r="N37" s="904">
        <f t="shared" si="16"/>
        <v>2713.1988387280981</v>
      </c>
      <c r="O37" s="253"/>
      <c r="P37" s="291">
        <f t="shared" si="17"/>
        <v>-353.66</v>
      </c>
      <c r="Q37" s="256">
        <f t="array" ref="Q37">+INDEX('Réel 2024'!$A$2:$AO$501,MATCH($A37,'Réel 2024'!$A$2:$A$501,0),MATCH(Q$2,'Réel 2024'!$A$2:$AO$2,0))</f>
        <v>-11317.12</v>
      </c>
      <c r="R37" s="253"/>
      <c r="S37" s="276">
        <f t="shared" si="18"/>
        <v>35441.090000000004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0.46236446689166394</v>
      </c>
      <c r="F41" s="307">
        <f>SUM(F31:F40)</f>
        <v>87132.832977707367</v>
      </c>
      <c r="G41" s="308"/>
      <c r="H41" s="306"/>
      <c r="I41" s="307"/>
      <c r="J41" s="308" t="s">
        <v>119</v>
      </c>
      <c r="K41" s="306">
        <f>L41/L$27</f>
        <v>0.66495063132121401</v>
      </c>
      <c r="L41" s="307">
        <f>SUM(L31:L40)</f>
        <v>83213.990000000005</v>
      </c>
      <c r="M41" s="309"/>
      <c r="N41" s="307">
        <f t="shared" si="16"/>
        <v>-3918.8429777073616</v>
      </c>
      <c r="O41" s="308" t="s">
        <v>119</v>
      </c>
      <c r="P41" s="306">
        <f>Q41/Q$27</f>
        <v>0.30173974266183945</v>
      </c>
      <c r="Q41" s="310">
        <f>SUM(Q31:Q40)</f>
        <v>41039.9</v>
      </c>
      <c r="R41" s="311"/>
      <c r="S41" s="307">
        <f t="shared" si="18"/>
        <v>42174.090000000004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20698.717948717946</v>
      </c>
      <c r="G42" s="253"/>
      <c r="H42" s="41"/>
      <c r="I42" s="254"/>
      <c r="J42" s="253"/>
      <c r="K42" s="41"/>
      <c r="L42" s="256">
        <f>SUMIFS(BV_Data_An_Cour!$O:$O,BV_Data_An_Cour!$U:$U,$B42,BV_Data_An_Cour!$V:$V,$C42,BV_Data_An_Cour!$W:$W,L$2)</f>
        <v>12358.48</v>
      </c>
      <c r="M42" s="253"/>
      <c r="N42" s="276">
        <f t="shared" si="16"/>
        <v>-8340.237948717946</v>
      </c>
      <c r="O42" s="253"/>
      <c r="P42" s="1088">
        <f>Q42/Q27</f>
        <v>0.1452642184906919</v>
      </c>
      <c r="Q42" s="256">
        <f t="array" ref="Q42">+INDEX('Réel 2024'!$A$2:$AO$501,MATCH($A42,'Réel 2024'!$A$2:$A$501,0),MATCH(Q$2,'Réel 2024'!$A$2:$AO$2,0))</f>
        <v>19757.52</v>
      </c>
      <c r="R42" s="253"/>
      <c r="S42" s="276">
        <f t="shared" si="18"/>
        <v>-7399.0400000000009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18491.133085468718</v>
      </c>
      <c r="G43" s="298"/>
      <c r="H43" s="41"/>
      <c r="I43" s="248"/>
      <c r="J43" s="253"/>
      <c r="K43" s="41"/>
      <c r="L43" s="256">
        <f>SUMIFS(BV_Data_An_Cour!$O:$O,BV_Data_An_Cour!$U:$U,$B43,BV_Data_An_Cour!$V:$V,$C43,BV_Data_An_Cour!$W:$W,L$2)</f>
        <v>10885.45</v>
      </c>
      <c r="M43" s="253"/>
      <c r="N43" s="276">
        <f t="shared" si="16"/>
        <v>-7605.6830854687178</v>
      </c>
      <c r="O43" s="253"/>
      <c r="P43" s="41"/>
      <c r="Q43" s="256">
        <f t="array" ref="Q43">+INDEX('Réel 2024'!$A$2:$AO$501,MATCH($A43,'Réel 2024'!$A$2:$A$501,0),MATCH(Q$2,'Réel 2024'!$A$2:$AO$2,0))</f>
        <v>12111.66</v>
      </c>
      <c r="R43" s="253"/>
      <c r="S43" s="276">
        <f t="shared" si="18"/>
        <v>-1226.2099999999991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0</v>
      </c>
      <c r="G44" s="316"/>
      <c r="H44" s="315"/>
      <c r="I44" s="254"/>
      <c r="J44" s="241"/>
      <c r="K44" s="315"/>
      <c r="L44" s="272">
        <f>SUMIFS(BV_Data_An_Cour!$O:$O,BV_Data_An_Cour!$U:$U,$B44,BV_Data_An_Cour!$V:$V,$C44,BV_Data_An_Cour!$W:$W,L$2)</f>
        <v>6786.2</v>
      </c>
      <c r="M44" s="241"/>
      <c r="N44" s="317">
        <f t="shared" si="16"/>
        <v>6786.2</v>
      </c>
      <c r="O44" s="241"/>
      <c r="P44" s="315"/>
      <c r="Q44" s="272">
        <f t="array" ref="Q44">+INDEX('Réel 2024'!$A$2:$AO$501,MATCH($A44,'Réel 2024'!$A$2:$A$501,0),MATCH(Q$2,'Réel 2024'!$A$2:$AO$2,0))</f>
        <v>2451</v>
      </c>
      <c r="R44" s="241"/>
      <c r="S44" s="317">
        <f t="shared" si="18"/>
        <v>4335.2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9716.083521385257</v>
      </c>
      <c r="G49" s="298"/>
      <c r="H49" s="41"/>
      <c r="I49" s="248"/>
      <c r="J49" s="253"/>
      <c r="K49" s="41"/>
      <c r="L49" s="248">
        <f>SUMIFS(BV_Data_An_Cour!$O:$O,BV_Data_An_Cour!$U:$U,$B49,BV_Data_An_Cour!$V:$V,$C49,BV_Data_An_Cour!$W:$W,L$2)</f>
        <v>11121.84</v>
      </c>
      <c r="M49" s="253"/>
      <c r="N49" s="276">
        <f t="shared" si="16"/>
        <v>1405.7564786147432</v>
      </c>
      <c r="O49" s="253"/>
      <c r="P49" s="41"/>
      <c r="Q49" s="248">
        <f t="array" ref="Q49">+INDEX('Réel 2024'!$A$2:$AO$501,MATCH($A49,'Réel 2024'!$A$2:$A$501,0),MATCH(Q$2,'Réel 2024'!$A$2:$AO$2,0))</f>
        <v>8944.73</v>
      </c>
      <c r="R49" s="253"/>
      <c r="S49" s="276">
        <f t="shared" si="18"/>
        <v>2177.1100000000006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11813.387893842868</v>
      </c>
      <c r="G50" s="316"/>
      <c r="H50" s="315"/>
      <c r="I50" s="254"/>
      <c r="J50" s="241"/>
      <c r="K50" s="315"/>
      <c r="L50" s="256">
        <f>SUMIFS(BV_Data_An_Cour!$O:$O,BV_Data_An_Cour!$U:$U,$B50,BV_Data_An_Cour!$V:$V,$C50,BV_Data_An_Cour!$W:$W,L$2)</f>
        <v>9382.76</v>
      </c>
      <c r="M50" s="241"/>
      <c r="N50" s="317">
        <f t="shared" si="16"/>
        <v>-2430.6278938428677</v>
      </c>
      <c r="O50" s="241"/>
      <c r="P50" s="315"/>
      <c r="Q50" s="256">
        <f t="array" ref="Q50">+INDEX('Réel 2024'!$A$2:$AO$501,MATCH($A50,'Réel 2024'!$A$2:$A$501,0),MATCH(Q$2,'Réel 2024'!$A$2:$AO$2,0))</f>
        <v>12821.25</v>
      </c>
      <c r="R50" s="241"/>
      <c r="S50" s="317">
        <f t="shared" si="18"/>
        <v>-3438.49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6086.4628931320849</v>
      </c>
      <c r="G51" s="298"/>
      <c r="H51" s="41"/>
      <c r="I51" s="254"/>
      <c r="J51" s="253"/>
      <c r="K51" s="41"/>
      <c r="L51" s="256">
        <f>SUMIFS(BV_Data_An_Cour!$O:$O,BV_Data_An_Cour!$U:$U,$B51,BV_Data_An_Cour!$V:$V,$C51,BV_Data_An_Cour!$W:$W,L$2)</f>
        <v>5265.63</v>
      </c>
      <c r="M51" s="253"/>
      <c r="N51" s="276">
        <f t="shared" si="16"/>
        <v>-820.83289313208479</v>
      </c>
      <c r="O51" s="253"/>
      <c r="P51" s="41"/>
      <c r="Q51" s="256">
        <f t="array" ref="Q51">+INDEX('Réel 2024'!$A$2:$AO$501,MATCH($A51,'Réel 2024'!$A$2:$A$501,0),MATCH(Q$2,'Réel 2024'!$A$2:$AO$2,0))</f>
        <v>4964.91</v>
      </c>
      <c r="R51" s="253"/>
      <c r="S51" s="276">
        <f t="shared" si="18"/>
        <v>300.72000000000025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2653.7320631096295</v>
      </c>
      <c r="G52" s="298"/>
      <c r="H52" s="41"/>
      <c r="I52" s="254"/>
      <c r="J52" s="253"/>
      <c r="K52" s="41"/>
      <c r="L52" s="256">
        <f>SUMIFS(BV_Data_An_Cour!$O:$O,BV_Data_An_Cour!$U:$U,$B52,BV_Data_An_Cour!$V:$V,$C52,BV_Data_An_Cour!$W:$W,L$2)</f>
        <v>2272.62</v>
      </c>
      <c r="M52" s="253"/>
      <c r="N52" s="276">
        <f t="shared" si="16"/>
        <v>-381.11206310962962</v>
      </c>
      <c r="O52" s="253"/>
      <c r="P52" s="41"/>
      <c r="Q52" s="256">
        <f t="array" ref="Q52">+INDEX('Réel 2024'!$A$2:$AO$501,MATCH($A52,'Réel 2024'!$A$2:$A$501,0),MATCH(Q$2,'Réel 2024'!$A$2:$AO$2,0))</f>
        <v>3329.22</v>
      </c>
      <c r="R52" s="253"/>
      <c r="S52" s="276">
        <f t="shared" si="18"/>
        <v>-1056.5999999999999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0.36858221680953823</v>
      </c>
      <c r="F54" s="307">
        <f>+SUM(F42:F53)</f>
        <v>69459.517405656501</v>
      </c>
      <c r="G54" s="308"/>
      <c r="H54" s="306"/>
      <c r="I54" s="307"/>
      <c r="J54" s="308" t="s">
        <v>119</v>
      </c>
      <c r="K54" s="306">
        <f>L54/L$27</f>
        <v>0.46405255551024815</v>
      </c>
      <c r="L54" s="307">
        <f>+SUM(L42:L53)</f>
        <v>58072.98</v>
      </c>
      <c r="M54" s="311"/>
      <c r="N54" s="307">
        <f>+SUM(N42:N53)</f>
        <v>-11386.537405656502</v>
      </c>
      <c r="O54" s="308" t="s">
        <v>119</v>
      </c>
      <c r="P54" s="306">
        <f>Q54/Q$27</f>
        <v>0.47334647835629712</v>
      </c>
      <c r="Q54" s="307">
        <f>+SUM(Q42:Q53)</f>
        <v>64380.290000000008</v>
      </c>
      <c r="R54" s="311"/>
      <c r="S54" s="307">
        <f>+SUM(S42:S53)</f>
        <v>-6307.3099999999995</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8389.6200000000008</v>
      </c>
      <c r="M57" s="246"/>
      <c r="N57" s="296">
        <f t="shared" si="19"/>
        <v>-562.92793333333248</v>
      </c>
      <c r="O57" s="246"/>
      <c r="P57" s="318"/>
      <c r="Q57" s="248">
        <f t="array" ref="Q57">+INDEX('Réel 2024'!$A$2:$AO$501,MATCH($A57,'Réel 2024'!$A$2:$A$501,0),MATCH(Q$2,'Réel 2024'!$A$2:$AO$2,0))</f>
        <v>10438.73</v>
      </c>
      <c r="R57" s="246"/>
      <c r="S57" s="296">
        <f t="shared" si="20"/>
        <v>-2049.1099999999988</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6690</v>
      </c>
      <c r="G58" s="298"/>
      <c r="H58" s="41"/>
      <c r="I58" s="254"/>
      <c r="J58" s="253"/>
      <c r="K58" s="41"/>
      <c r="L58" s="256">
        <f>SUMIFS(BV_Data_An_Cour!$O:$O,BV_Data_An_Cour!$U:$U,$B58,BV_Data_An_Cour!$V:$V,$C58,BV_Data_An_Cour!$W:$W,L$2)</f>
        <v>6876.27</v>
      </c>
      <c r="M58" s="253"/>
      <c r="N58" s="276">
        <f t="shared" si="19"/>
        <v>186.27000000000044</v>
      </c>
      <c r="O58" s="253"/>
      <c r="P58" s="41"/>
      <c r="Q58" s="256">
        <f t="array" ref="Q58">+INDEX('Réel 2024'!$A$2:$AO$501,MATCH($A58,'Réel 2024'!$A$2:$A$501,0),MATCH(Q$2,'Réel 2024'!$A$2:$AO$2,0))</f>
        <v>6313.34</v>
      </c>
      <c r="R58" s="253"/>
      <c r="S58" s="276">
        <f t="shared" si="20"/>
        <v>562.93000000000029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612.99</v>
      </c>
      <c r="M59" s="253"/>
      <c r="N59" s="276">
        <f t="shared" si="19"/>
        <v>-887.01</v>
      </c>
      <c r="O59" s="253"/>
      <c r="P59" s="41"/>
      <c r="Q59" s="256">
        <f t="array" ref="Q59">+INDEX('Réel 2024'!$A$2:$AO$501,MATCH($A59,'Réel 2024'!$A$2:$A$501,0),MATCH(Q$2,'Réel 2024'!$A$2:$AO$2,0))</f>
        <v>995.9</v>
      </c>
      <c r="R59" s="253"/>
      <c r="S59" s="276">
        <f t="shared" si="20"/>
        <v>-382.90999999999997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4109.12</v>
      </c>
      <c r="G60" s="300"/>
      <c r="H60" s="318"/>
      <c r="I60" s="248"/>
      <c r="J60" s="246"/>
      <c r="K60" s="318"/>
      <c r="L60" s="248">
        <f>SUMIFS(BV_Data_An_Cour!$O:$O,BV_Data_An_Cour!$U:$U,$B60,BV_Data_An_Cour!$V:$V,$C60,BV_Data_An_Cour!$W:$W,L$2)</f>
        <v>3237.92</v>
      </c>
      <c r="M60" s="246"/>
      <c r="N60" s="296">
        <f t="shared" si="19"/>
        <v>-871.19999999999982</v>
      </c>
      <c r="O60" s="246"/>
      <c r="P60" s="318"/>
      <c r="Q60" s="248">
        <f t="array" ref="Q60">+INDEX('Réel 2024'!$A$2:$AO$501,MATCH($A60,'Réel 2024'!$A$2:$A$501,0),MATCH(Q$2,'Réel 2024'!$A$2:$AO$2,0))</f>
        <v>7771.09</v>
      </c>
      <c r="R60" s="246"/>
      <c r="S60" s="296">
        <f t="shared" si="20"/>
        <v>-4533.17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165.98</v>
      </c>
      <c r="R61" s="253"/>
      <c r="S61" s="276">
        <f t="shared" si="20"/>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544.66999999999996</v>
      </c>
      <c r="M63" s="253"/>
      <c r="N63" s="276">
        <f t="shared" si="19"/>
        <v>-50.330000000000041</v>
      </c>
      <c r="O63" s="253"/>
      <c r="P63" s="41"/>
      <c r="Q63" s="256">
        <f t="array" ref="Q63">+INDEX('Réel 2024'!$A$2:$AO$501,MATCH($A63,'Réel 2024'!$A$2:$A$501,0),MATCH(Q$2,'Réel 2024'!$A$2:$AO$2,0))</f>
        <v>1041.95</v>
      </c>
      <c r="R63" s="253"/>
      <c r="S63" s="276">
        <f t="shared" si="20"/>
        <v>-497.28000000000009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289.7</v>
      </c>
      <c r="M64" s="253"/>
      <c r="N64" s="276">
        <f t="shared" si="19"/>
        <v>-147.80000000000001</v>
      </c>
      <c r="O64" s="253"/>
      <c r="P64" s="41"/>
      <c r="Q64" s="256">
        <f t="array" ref="Q64">+INDEX('Réel 2024'!$A$2:$AO$501,MATCH($A64,'Réel 2024'!$A$2:$A$501,0),MATCH(Q$2,'Réel 2024'!$A$2:$AO$2,0))</f>
        <v>439.54</v>
      </c>
      <c r="R64" s="253"/>
      <c r="S64" s="276">
        <f t="shared" si="20"/>
        <v>-149.84000000000003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432.06</v>
      </c>
      <c r="M65" s="253"/>
      <c r="N65" s="276">
        <f t="shared" si="19"/>
        <v>204.14000000000001</v>
      </c>
      <c r="O65" s="253"/>
      <c r="P65" s="41"/>
      <c r="Q65" s="256">
        <f t="array" ref="Q65">+INDEX('Réel 2024'!$A$2:$AO$501,MATCH($A65,'Réel 2024'!$A$2:$A$501,0),MATCH(Q$2,'Réel 2024'!$A$2:$AO$2,0))</f>
        <v>447.9</v>
      </c>
      <c r="R65" s="253"/>
      <c r="S65" s="276">
        <f t="shared" si="20"/>
        <v>-15.839999999999975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35.01</v>
      </c>
      <c r="M66" s="253"/>
      <c r="N66" s="276">
        <f t="shared" si="19"/>
        <v>-84.990000000000009</v>
      </c>
      <c r="O66" s="253"/>
      <c r="P66" s="41"/>
      <c r="Q66" s="256">
        <f t="array" ref="Q66">+INDEX('Réel 2024'!$A$2:$AO$501,MATCH($A66,'Réel 2024'!$A$2:$A$501,0),MATCH(Q$2,'Réel 2024'!$A$2:$AO$2,0))</f>
        <v>71.209999999999994</v>
      </c>
      <c r="R66" s="253"/>
      <c r="S66" s="276">
        <f t="shared" si="20"/>
        <v>-36.199999999999996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2279.71</v>
      </c>
      <c r="M67" s="253"/>
      <c r="N67" s="276">
        <f t="shared" si="19"/>
        <v>363.04333333333329</v>
      </c>
      <c r="O67" s="253"/>
      <c r="P67" s="41"/>
      <c r="Q67" s="256">
        <f t="array" ref="Q67">+INDEX('Réel 2024'!$A$2:$AO$501,MATCH($A67,'Réel 2024'!$A$2:$A$501,0),MATCH(Q$2,'Réel 2024'!$A$2:$AO$2,0))</f>
        <v>683.97</v>
      </c>
      <c r="R67" s="253"/>
      <c r="S67" s="276">
        <f t="shared" si="20"/>
        <v>1595.74</v>
      </c>
      <c r="T67" s="41"/>
      <c r="U67" s="1282" t="s">
        <v>3949</v>
      </c>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2848.5113413270478</v>
      </c>
      <c r="G68" s="298"/>
      <c r="H68" s="41"/>
      <c r="I68" s="254"/>
      <c r="J68" s="253"/>
      <c r="K68" s="41"/>
      <c r="L68" s="895">
        <f>SUMIFS(BV_Data_An_Cour!$O:$O,BV_Data_An_Cour!$U:$U,$B68,BV_Data_An_Cour!$V:$V,$C68,BV_Data_An_Cour!$W:$W,L$2)</f>
        <v>6067.89</v>
      </c>
      <c r="M68" s="253"/>
      <c r="N68" s="904">
        <f t="shared" si="19"/>
        <v>3219.3786586729525</v>
      </c>
      <c r="O68" s="253"/>
      <c r="P68" s="41"/>
      <c r="Q68" s="256">
        <f t="array" ref="Q68">+INDEX('Réel 2024'!$A$2:$AO$501,MATCH($A68,'Réel 2024'!$A$2:$A$501,0),MATCH(Q$2,'Réel 2024'!$A$2:$AO$2,0))</f>
        <v>2165.37</v>
      </c>
      <c r="R68" s="253"/>
      <c r="S68" s="276">
        <f t="shared" si="20"/>
        <v>3902.5200000000004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0.14575318327113801</v>
      </c>
      <c r="F72" s="307">
        <f>+SUM(F55:F71)</f>
        <v>27467.265941327048</v>
      </c>
      <c r="G72" s="308"/>
      <c r="H72" s="306"/>
      <c r="I72" s="307"/>
      <c r="J72" s="308" t="s">
        <v>119</v>
      </c>
      <c r="K72" s="306">
        <f>L72/L$27</f>
        <v>0.22986355381450918</v>
      </c>
      <c r="L72" s="307">
        <f>+SUM(L55:L71)</f>
        <v>28765.84</v>
      </c>
      <c r="M72" s="311"/>
      <c r="N72" s="307">
        <f>+SUM(N55:N71)</f>
        <v>1298.5740586729532</v>
      </c>
      <c r="O72" s="308" t="s">
        <v>119</v>
      </c>
      <c r="P72" s="306">
        <f>Q72/Q$27</f>
        <v>0.22450388542331767</v>
      </c>
      <c r="Q72" s="307">
        <f>+SUM(Q55:Q71)</f>
        <v>30534.980000000003</v>
      </c>
      <c r="R72" s="311"/>
      <c r="S72" s="307">
        <f>+SUM(S55:S71)</f>
        <v>-1769.1399999999976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0.97669986697234024</v>
      </c>
      <c r="F74" s="307">
        <f>F41+F54+F72</f>
        <v>184059.61632469093</v>
      </c>
      <c r="G74" s="308"/>
      <c r="H74" s="306"/>
      <c r="I74" s="307"/>
      <c r="J74" s="308" t="s">
        <v>119</v>
      </c>
      <c r="K74" s="306">
        <f>L74/L$27</f>
        <v>1.3588667406459713</v>
      </c>
      <c r="L74" s="307">
        <f>L41+L54+L72</f>
        <v>170052.81</v>
      </c>
      <c r="M74" s="311"/>
      <c r="N74" s="320">
        <f t="shared" ref="N74:N82" si="21">L74-F74</f>
        <v>-14006.80632469093</v>
      </c>
      <c r="O74" s="308" t="s">
        <v>119</v>
      </c>
      <c r="P74" s="306">
        <f>Q74/Q$27</f>
        <v>0.99959010644145418</v>
      </c>
      <c r="Q74" s="307">
        <f>Q41+Q54+Q72</f>
        <v>135955.17000000001</v>
      </c>
      <c r="R74" s="311"/>
      <c r="S74" s="320">
        <f>L74-Q74</f>
        <v>34097.639999999985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17400</v>
      </c>
      <c r="M75" s="253"/>
      <c r="N75" s="276">
        <f t="shared" si="21"/>
        <v>17400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1240.2055700817193</v>
      </c>
      <c r="F78" s="254">
        <f>+INDEX('Budget original'!$A$2:$AO$501,MATCH($A78,'Budget original'!$A$2:$A$501,0),MATCH(F$2,'Budget original'!$A$2:$AO$2,0))</f>
        <v>68211.306354494562</v>
      </c>
      <c r="G78" s="298"/>
      <c r="H78" s="41"/>
      <c r="I78" s="254"/>
      <c r="J78" s="1016"/>
      <c r="K78" s="960">
        <f>+L78/J27</f>
        <v>1403.7058823529412</v>
      </c>
      <c r="L78" s="256">
        <f>-SUMIFS(BV_Data_An_Cour!$O:$O,BV_Data_An_Cour!$U:$U,$B78,BV_Data_An_Cour!$V:$V,$C78,BV_Data_An_Cour!$W:$W,L$2)</f>
        <v>71589</v>
      </c>
      <c r="M78" s="253"/>
      <c r="N78" s="276">
        <f t="shared" si="21"/>
        <v>3377.6936455054383</v>
      </c>
      <c r="O78" s="253"/>
      <c r="P78" s="41"/>
      <c r="Q78" s="256">
        <f t="array" ref="Q78">+INDEX('Réel 2024'!$A$2:$AO$501,MATCH($A78,'Réel 2024'!$A$2:$A$501,0),MATCH(Q$2,'Réel 2024'!$A$2:$AO$2,0))</f>
        <v>47635</v>
      </c>
      <c r="R78" s="253"/>
      <c r="S78" s="276">
        <f t="shared" si="22"/>
        <v>23954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2">
        <f>E82/499</f>
        <v>0.91192384769539081</v>
      </c>
      <c r="E82" s="323">
        <f>+F82/D24</f>
        <v>455.05</v>
      </c>
      <c r="F82" s="254">
        <f>+INDEX('Budget original'!$A$2:$AO$501,MATCH($A82,'Budget original'!$A$2:$A$501,0),MATCH(F$2,'Budget original'!$A$2:$AO$2,0))</f>
        <v>23207.55</v>
      </c>
      <c r="G82" s="298"/>
      <c r="H82" s="41"/>
      <c r="I82" s="254"/>
      <c r="J82" s="1104">
        <f>K82/474</f>
        <v>1.0756479807112718</v>
      </c>
      <c r="K82" s="323">
        <f>+L82/J24</f>
        <v>509.85714285714283</v>
      </c>
      <c r="L82" s="256">
        <f>-SUMIFS(BV_Data_An_Cour!$O:$O,BV_Data_An_Cour!$U:$U,$B82,BV_Data_An_Cour!$V:$V,$C82,BV_Data_An_Cour!$W:$W,L$2)</f>
        <v>21414</v>
      </c>
      <c r="M82" s="253"/>
      <c r="N82" s="276">
        <f t="shared" si="21"/>
        <v>-1793.5499999999993</v>
      </c>
      <c r="O82" s="253"/>
      <c r="P82" s="41"/>
      <c r="Q82" s="256">
        <f t="array" ref="Q82">+INDEX('Réel 2024'!$A$2:$AO$501,MATCH($A82,'Réel 2024'!$A$2:$A$501,0),MATCH(Q$2,'Réel 2024'!$A$2:$AO$2,0))</f>
        <v>15936</v>
      </c>
      <c r="R82" s="253"/>
      <c r="S82" s="276">
        <f t="shared" si="22"/>
        <v>5478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91418.856354494565</v>
      </c>
      <c r="G83" s="308"/>
      <c r="H83" s="306"/>
      <c r="I83" s="307"/>
      <c r="J83" s="308"/>
      <c r="K83" s="306"/>
      <c r="L83" s="307">
        <f>+SUM(L75:L82)</f>
        <v>110403</v>
      </c>
      <c r="M83" s="311"/>
      <c r="N83" s="307">
        <f>+SUM(N75:N82)</f>
        <v>18984.143645505439</v>
      </c>
      <c r="O83" s="308"/>
      <c r="P83" s="306"/>
      <c r="Q83" s="307">
        <f>+SUM(Q75:Q82)</f>
        <v>63571</v>
      </c>
      <c r="R83" s="311"/>
      <c r="S83" s="307">
        <f>+SUM(S75:S82)</f>
        <v>29432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95809.778981196185</v>
      </c>
      <c r="G85" s="336"/>
      <c r="H85" s="334"/>
      <c r="I85" s="335"/>
      <c r="J85" s="336"/>
      <c r="K85" s="333"/>
      <c r="L85" s="335">
        <f>L27-L74+L83</f>
        <v>65493.299999999814</v>
      </c>
      <c r="M85" s="336"/>
      <c r="N85" s="335">
        <f>N27-N41-N54-N72+N83</f>
        <v>-30316.478981196382</v>
      </c>
      <c r="O85" s="336"/>
      <c r="P85" s="1091">
        <f>Q85/Q5</f>
        <v>3.0650317146065812E-2</v>
      </c>
      <c r="Q85" s="335">
        <f>Q27-Q74+Q83</f>
        <v>63626.749999999884</v>
      </c>
      <c r="R85" s="336"/>
      <c r="S85" s="335">
        <f>S27-S41-S54-S72+S83</f>
        <v>-15533.450000000092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7" t="s">
        <v>343</v>
      </c>
      <c r="E91" s="1298"/>
      <c r="F91" s="1299"/>
      <c r="G91" s="1302"/>
      <c r="H91" s="1298"/>
      <c r="I91" s="1299"/>
      <c r="J91" s="1302" t="s">
        <v>344</v>
      </c>
      <c r="K91" s="1298"/>
      <c r="L91" s="1299"/>
      <c r="M91" s="1302" t="s">
        <v>3310</v>
      </c>
      <c r="N91" s="1299"/>
      <c r="O91" s="1297" t="s">
        <v>345</v>
      </c>
      <c r="P91" s="1298"/>
      <c r="Q91" s="1299"/>
      <c r="R91" s="1300" t="s">
        <v>3312</v>
      </c>
      <c r="S91" s="130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948717.19560298533</v>
      </c>
      <c r="G93" s="267"/>
      <c r="H93" s="250"/>
      <c r="I93" s="248"/>
      <c r="J93" s="246"/>
      <c r="K93" s="250"/>
      <c r="L93" s="248">
        <f>-SUMIFS(BV_Data_An_Cour!$O:$O,BV_Data_An_Cour!$X:$X,"Oui",BV_Data_An_Cour!$U:$U,$B93)</f>
        <v>714504.46</v>
      </c>
      <c r="M93" s="342"/>
      <c r="N93" s="343"/>
      <c r="O93" s="246"/>
      <c r="P93" s="250"/>
      <c r="Q93" s="248">
        <f t="array" ref="Q93">+INDEX('Réel 2024'!$A$2:$AO$501,MATCH($A93,'Réel 2024'!$A$2:$A$501,0),MATCH(Q$2,'Réel 2024'!$A$2:$AO$2,0))</f>
        <v>616311.43999999994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21</v>
      </c>
      <c r="E94" s="254">
        <f>IF(D94=0,0,F94/D94)</f>
        <v>1500</v>
      </c>
      <c r="F94" s="254">
        <f>+INDEX('Budget original'!$A$2:$AO$501,MATCH($A94,'Budget original'!$A$2:$A$501,0),MATCH(F$2,'Budget original'!$A$2:$AO$2,0))</f>
        <v>31500</v>
      </c>
      <c r="G94" s="255"/>
      <c r="H94" s="254"/>
      <c r="I94" s="254"/>
      <c r="J94" s="255">
        <f>-SUMIFS(BV_Data_An_Cour!$O:$O,BV_Data_An_Cour!$U:$U,$B94,BV_Data_An_Cour!$V:$V,$C94,BV_Data_An_Cour!$W:$W,J$2)</f>
        <v>17</v>
      </c>
      <c r="K94" s="254">
        <f t="shared" ref="K94:K95" si="23">IF(J94=0,0,L94/J94)</f>
        <v>303.1717647058814</v>
      </c>
      <c r="L94" s="256">
        <f>-SUMIFS(BV_Data_An_Cour!$O:$O,BV_Data_An_Cour!$U:$U,$B94,BV_Data_An_Cour!$V:$V,$C94,BV_Data_An_Cour!$W:$W,$L2)</f>
        <v>5153.9199999999837</v>
      </c>
      <c r="M94" s="255">
        <f>J94-D94</f>
        <v>-4</v>
      </c>
      <c r="N94" s="256">
        <f>L94-F94</f>
        <v>-26346.080000000016</v>
      </c>
      <c r="O94" s="255">
        <f t="array" ref="O94">+INDEX('Réel 2024'!$A$2:$AO$501,MATCH($A94,'Réel 2024'!$A$2:$A$501,0),MATCH(O$2,'Réel 2024'!$A$2:$AO$2,0))</f>
        <v>13</v>
      </c>
      <c r="P94" s="254">
        <f t="shared" ref="P94:P96" si="24">IF(O94=0,0,Q94/O94)</f>
        <v>1495.4061538461463</v>
      </c>
      <c r="Q94" s="256">
        <f t="array" ref="Q94">+INDEX('Réel 2024'!$A$2:$AO$501,MATCH($A94,'Réel 2024'!$A$2:$A$501,0),MATCH(Q$2,'Réel 2024'!$A$2:$AO$2,0))</f>
        <v>19440.279999999901</v>
      </c>
      <c r="R94" s="255">
        <f t="shared" ref="R94:R95" si="25">J94-O94</f>
        <v>4</v>
      </c>
      <c r="S94" s="256">
        <f t="shared" ref="S94:S95" si="26">L94-Q94</f>
        <v>-14286.359999999917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6</v>
      </c>
      <c r="E95" s="1020">
        <f t="shared" ref="E95:E105" si="27">IF(D95=0,0,F95/D95)</f>
        <v>1500</v>
      </c>
      <c r="F95" s="254">
        <f>+INDEX('Budget original'!$A$2:$AO$501,MATCH($A95,'Budget original'!$A$2:$A$501,0),MATCH(F$2,'Budget original'!$A$2:$AO$2,0))</f>
        <v>9000</v>
      </c>
      <c r="G95" s="255"/>
      <c r="H95" s="254"/>
      <c r="I95" s="254"/>
      <c r="J95" s="255">
        <f>-SUMIFS(BV_Data_An_Cour!$O:$O,BV_Data_An_Cour!$U:$U,$B95,BV_Data_An_Cour!$V:$V,$C95,BV_Data_An_Cour!$W:$W,J$2)</f>
        <v>0</v>
      </c>
      <c r="K95" s="254">
        <f t="shared" si="23"/>
        <v>0</v>
      </c>
      <c r="L95" s="256">
        <f>-SUMIFS(BV_Data_An_Cour!$O:$O,BV_Data_An_Cour!$U:$U,$B95,BV_Data_An_Cour!$V:$V,$C95,BV_Data_An_Cour!$W:$W,$L2)</f>
        <v>-1602.21</v>
      </c>
      <c r="M95" s="255">
        <f>J95-D95</f>
        <v>-6</v>
      </c>
      <c r="N95" s="256">
        <f>L95-F95</f>
        <v>-10602.21</v>
      </c>
      <c r="O95" s="255">
        <f t="array" ref="O95">+INDEX('Réel 2024'!$A$2:$AO$501,MATCH($A95,'Réel 2024'!$A$2:$A$501,0),MATCH(O$2,'Réel 2024'!$A$2:$AO$2,0))</f>
        <v>2</v>
      </c>
      <c r="P95" s="254">
        <f t="shared" si="24"/>
        <v>-169.7949999999995</v>
      </c>
      <c r="Q95" s="256">
        <f t="array" ref="Q95">+INDEX('Réel 2024'!$A$2:$AO$501,MATCH($A95,'Réel 2024'!$A$2:$A$501,0),MATCH(Q$2,'Réel 2024'!$A$2:$AO$2,0))</f>
        <v>-339.58999999999901</v>
      </c>
      <c r="R95" s="255">
        <f t="shared" si="25"/>
        <v>-2</v>
      </c>
      <c r="S95" s="256">
        <f t="shared" si="26"/>
        <v>-1262.620000000001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6</v>
      </c>
      <c r="E96" s="1022">
        <f t="shared" si="27"/>
        <v>1500</v>
      </c>
      <c r="F96" s="254">
        <f>+INDEX('Budget original'!$A$2:$AO$501,MATCH($A96,'Budget original'!$A$2:$A$501,0),MATCH(F$2,'Budget original'!$A$2:$AO$2,0))</f>
        <v>9000</v>
      </c>
      <c r="G96" s="1021"/>
      <c r="H96" s="254"/>
      <c r="I96" s="254"/>
      <c r="J96" s="1021">
        <f>-SUMIFS(BV_Data_An_Cour!$O:$O,BV_Data_An_Cour!$U:$U,$B96,BV_Data_An_Cour!$V:$V,$C96,BV_Data_An_Cour!$W:$W,J$2)</f>
        <v>1</v>
      </c>
      <c r="K96" s="254">
        <f t="shared" ref="K96" si="28">IF(J96=0,0,L96/J96)</f>
        <v>2467.5</v>
      </c>
      <c r="L96" s="895">
        <f>-SUMIFS(BV_Data_An_Cour!$O:$O,BV_Data_An_Cour!$U:$U,$B96,BV_Data_An_Cour!$V:$V,$C96,BV_Data_An_Cour!$W:$W,$L2)</f>
        <v>2467.5</v>
      </c>
      <c r="M96" s="1021">
        <f>J96-D96</f>
        <v>-5</v>
      </c>
      <c r="N96" s="895">
        <f>L96-F96</f>
        <v>-6532.5</v>
      </c>
      <c r="O96" s="1021">
        <f>+INDEX('Réel 2024'!$A$2:$AO$501,MATCH($A96,'Réel 2024'!$A$2:$A$501,0),MATCH(O$2,'Réel 2024'!$A$2:$AO$2,0))</f>
        <v>2</v>
      </c>
      <c r="P96" s="254">
        <f t="shared" si="24"/>
        <v>1908.175</v>
      </c>
      <c r="Q96" s="895">
        <f>+INDEX('Réel 2024'!$A$2:$AO$501,MATCH($A96,'Réel 2024'!$A$2:$A$501,0),MATCH(Q$2,'Réel 2024'!$A$2:$AO$2,0))</f>
        <v>3816.35</v>
      </c>
      <c r="R96" s="1021">
        <f>J96-O96</f>
        <v>-1</v>
      </c>
      <c r="S96" s="895">
        <f>L96-Q96</f>
        <v>-1348.85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33</v>
      </c>
      <c r="E97" s="254">
        <f t="shared" si="27"/>
        <v>1500</v>
      </c>
      <c r="F97" s="261">
        <f>+F94+F95+F96</f>
        <v>49500</v>
      </c>
      <c r="G97" s="262"/>
      <c r="H97" s="260"/>
      <c r="I97" s="261"/>
      <c r="J97" s="262">
        <f>+J94+J95+J96</f>
        <v>18</v>
      </c>
      <c r="K97" s="260">
        <f>IF(J97&lt;=0,0,L97/J97)</f>
        <v>334.40055555555466</v>
      </c>
      <c r="L97" s="261">
        <f>+L94+L95+L96</f>
        <v>6019.2099999999837</v>
      </c>
      <c r="M97" s="262">
        <f>J97-D97</f>
        <v>-15</v>
      </c>
      <c r="N97" s="261">
        <f>L97-F97</f>
        <v>-43480.790000000015</v>
      </c>
      <c r="O97" s="262">
        <f>+O95+O94+O96</f>
        <v>17</v>
      </c>
      <c r="P97" s="260">
        <f>IF(O97=0,0,Q97/O97)</f>
        <v>1348.0611764705823</v>
      </c>
      <c r="Q97" s="261">
        <f>+Q94+Q95+Q96</f>
        <v>22917.039999999899</v>
      </c>
      <c r="R97" s="262">
        <f>R94+R95</f>
        <v>2</v>
      </c>
      <c r="S97" s="261">
        <f>S94+S95</f>
        <v>-15548.979999999918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-0.45454545454545453</v>
      </c>
      <c r="N98" s="346">
        <f>N97/F97</f>
        <v>-0.87839979797979828</v>
      </c>
      <c r="O98" s="253"/>
      <c r="P98" s="41">
        <f t="shared" ref="P98" si="30">IF(O98=0,0,Q98/O98)</f>
        <v>0</v>
      </c>
      <c r="Q98" s="263"/>
      <c r="R98" s="345">
        <f>R97/O97</f>
        <v>0.11764705882352941</v>
      </c>
      <c r="S98" s="346">
        <f>IF(Q97=0,0,(S97/Q97))</f>
        <v>-0.67848989223739131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9</v>
      </c>
      <c r="E100" s="254">
        <f t="shared" si="27"/>
        <v>500</v>
      </c>
      <c r="F100" s="254">
        <f>+INDEX('Budget original'!$A$2:$AO$501,MATCH($A100,'Budget original'!$A$2:$A$501,0),MATCH(F$2,'Budget original'!$A$2:$AO$2,0))</f>
        <v>4500</v>
      </c>
      <c r="G100" s="255"/>
      <c r="H100" s="254"/>
      <c r="I100" s="254"/>
      <c r="J100" s="255">
        <f>-SUMIFS(BV_Data_An_Cour!$O:$O,BV_Data_An_Cour!$U:$U,$B100,BV_Data_An_Cour!$V:$V,$C100,BV_Data_An_Cour!$W:$W,J$2)</f>
        <v>23</v>
      </c>
      <c r="K100" s="254">
        <f>IF(J100=0,0,L100/J100)</f>
        <v>1224.2147826086957</v>
      </c>
      <c r="L100" s="256">
        <f>-SUMIFS(BV_Data_An_Cour!$O:$O,BV_Data_An_Cour!$U:$U,$B100,BV_Data_An_Cour!$V:$V,$C100,BV_Data_An_Cour!$W:$W,L$2)</f>
        <v>28156.940000000002</v>
      </c>
      <c r="M100" s="255">
        <f>J100-D100</f>
        <v>14</v>
      </c>
      <c r="N100" s="256">
        <f>L100-F100</f>
        <v>23656.940000000002</v>
      </c>
      <c r="O100" s="255">
        <f t="array" ref="O100">+INDEX('Réel 2024'!$A$2:$AO$501,MATCH($A100,'Réel 2024'!$A$2:$A$501,0),MATCH(O$2,'Réel 2024'!$A$2:$AO$2,0))</f>
        <v>10</v>
      </c>
      <c r="P100" s="254">
        <f>IF(O100=0,0,Q100/O100)</f>
        <v>743.69200000000103</v>
      </c>
      <c r="Q100" s="256">
        <f t="array" ref="Q100">+INDEX('Réel 2024'!$A$2:$AO$501,MATCH($A100,'Réel 2024'!$A$2:$A$501,0),MATCH(Q$2,'Réel 2024'!$A$2:$AO$2,0))</f>
        <v>7436.9200000000101</v>
      </c>
      <c r="R100" s="255">
        <f>J100-O100</f>
        <v>13</v>
      </c>
      <c r="S100" s="256">
        <f>L100-Q100</f>
        <v>20720.019999999993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11550</v>
      </c>
      <c r="G102" s="255"/>
      <c r="H102" s="254"/>
      <c r="I102" s="254"/>
      <c r="J102" s="255"/>
      <c r="K102" s="254">
        <f>IF(J97=0,0,L102/J97)</f>
        <v>207.73888888888891</v>
      </c>
      <c r="L102" s="256">
        <f>-SUMIFS(BV_Data_An_Cour!$O:$O,BV_Data_An_Cour!$U:$U,$B102,BV_Data_An_Cour!$V:$V,$C102,BV_Data_An_Cour!$W:$W,$L2)</f>
        <v>3739.3</v>
      </c>
      <c r="M102" s="255"/>
      <c r="N102" s="256">
        <f>L102-F102</f>
        <v>-7810.7</v>
      </c>
      <c r="O102" s="255"/>
      <c r="P102" s="254"/>
      <c r="Q102" s="256">
        <f t="array" ref="Q102">+INDEX('Réel 2024'!$A$2:$AO$501,MATCH($A102,'Réel 2024'!$A$2:$A$501,0),MATCH(Q$2,'Réel 2024'!$A$2:$AO$2,0))</f>
        <v>3912.7</v>
      </c>
      <c r="R102" s="255">
        <f t="shared" ref="R102:R104" si="31">O102-K102</f>
        <v>-207.73888888888891</v>
      </c>
      <c r="S102" s="256">
        <f t="shared" ref="S102:S105" si="32">L102-Q102</f>
        <v>-173.39999999999964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52800</v>
      </c>
      <c r="G103" s="255"/>
      <c r="H103" s="254"/>
      <c r="I103" s="254"/>
      <c r="J103" s="255"/>
      <c r="K103" s="254">
        <f>IF(J97=0,0,L103/J97)</f>
        <v>864.81611111111113</v>
      </c>
      <c r="L103" s="256">
        <f>-SUMIFS(BV_Data_An_Cour!$O:$O,BV_Data_An_Cour!$U:$U,$B103,BV_Data_An_Cour!$V:$V,$C103,BV_Data_An_Cour!$W:$W,$L2)</f>
        <v>15566.69</v>
      </c>
      <c r="M103" s="255"/>
      <c r="N103" s="256">
        <f>L103-F103</f>
        <v>-37233.31</v>
      </c>
      <c r="O103" s="255"/>
      <c r="P103" s="254"/>
      <c r="Q103" s="256">
        <f t="array" ref="Q103">+INDEX('Réel 2024'!$A$2:$AO$501,MATCH($A103,'Réel 2024'!$A$2:$A$501,0),MATCH(Q$2,'Réel 2024'!$A$2:$AO$2,0))</f>
        <v>22719.61</v>
      </c>
      <c r="R103" s="255">
        <f t="shared" si="31"/>
        <v>-864.81611111111113</v>
      </c>
      <c r="S103" s="256">
        <f t="shared" si="32"/>
        <v>-7152.92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1650</v>
      </c>
      <c r="G104" s="255"/>
      <c r="H104" s="250"/>
      <c r="I104" s="254"/>
      <c r="J104" s="255"/>
      <c r="K104" s="250">
        <f>IF(J97=0,0,L104/J97)</f>
        <v>0</v>
      </c>
      <c r="L104" s="256">
        <f>-SUMIFS(BV_Data_An_Cour!$O:$O,BV_Data_An_Cour!$U:$U,$B104,BV_Data_An_Cour!$V:$V,$C104,BV_Data_An_Cour!$W:$W,$L$2)</f>
        <v>0</v>
      </c>
      <c r="M104" s="267"/>
      <c r="N104" s="256">
        <f>L104-F104</f>
        <v>-1650</v>
      </c>
      <c r="O104" s="255"/>
      <c r="P104" s="250"/>
      <c r="Q104" s="256">
        <f t="array" ref="Q104">+INDEX('Réel 2024'!$A$2:$AO$501,MATCH($A104,'Réel 2024'!$A$2:$A$501,0),MATCH(Q$2,'Réel 2024'!$A$2:$AO$2,0))</f>
        <v>252.87</v>
      </c>
      <c r="R104" s="255">
        <f t="shared" si="31"/>
        <v>0</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33</v>
      </c>
      <c r="E105" s="254">
        <f t="shared" si="27"/>
        <v>2000</v>
      </c>
      <c r="F105" s="261">
        <f>F102+F103+F104</f>
        <v>66000</v>
      </c>
      <c r="G105" s="262"/>
      <c r="H105" s="260"/>
      <c r="I105" s="261"/>
      <c r="J105" s="262">
        <f>J97</f>
        <v>18</v>
      </c>
      <c r="K105" s="260">
        <f>IF(J105&lt;=0,0,L105/J105)</f>
        <v>1072.5550000000001</v>
      </c>
      <c r="L105" s="261">
        <f>L102+L103+L104</f>
        <v>19305.990000000002</v>
      </c>
      <c r="M105" s="255">
        <f>J105-D105</f>
        <v>-15</v>
      </c>
      <c r="N105" s="261">
        <f>L105-F105</f>
        <v>-46694.009999999995</v>
      </c>
      <c r="O105" s="262">
        <f>O97</f>
        <v>17</v>
      </c>
      <c r="P105" s="260">
        <f t="shared" ref="P105" si="33">IF(O105=0,0,Q105/O105)</f>
        <v>1581.4811764705883</v>
      </c>
      <c r="Q105" s="261">
        <f>Q102+Q103+Q104</f>
        <v>26885.18</v>
      </c>
      <c r="R105" s="273"/>
      <c r="S105" s="261">
        <f t="shared" si="32"/>
        <v>-7579.1899999999987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-0.70748499999999992</v>
      </c>
      <c r="O106" s="253"/>
      <c r="P106" s="41"/>
      <c r="Q106" s="276"/>
      <c r="R106" s="277"/>
      <c r="S106" s="265">
        <f>IF(Q105=0,0,(S105/Q105))</f>
        <v>-0.28190958736374461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42</v>
      </c>
      <c r="E108" s="280">
        <f>IF(D108&lt;=0,0,F108/D108)</f>
        <v>2857.1428571428573</v>
      </c>
      <c r="F108" s="281">
        <f>F97+F105+F100</f>
        <v>120000</v>
      </c>
      <c r="G108" s="282"/>
      <c r="H108" s="350"/>
      <c r="I108" s="281"/>
      <c r="J108" s="282">
        <f>J97+J100</f>
        <v>41</v>
      </c>
      <c r="K108" s="280">
        <f>IF(J108&lt;=0,0,L108/J108)</f>
        <v>1304.4424390243898</v>
      </c>
      <c r="L108" s="281">
        <f>L97+L105+L100</f>
        <v>53482.139999999985</v>
      </c>
      <c r="M108" s="282">
        <f>J108-D108</f>
        <v>-1</v>
      </c>
      <c r="N108" s="281">
        <f>L108-F108</f>
        <v>-66517.860000000015</v>
      </c>
      <c r="O108" s="282">
        <f>O97+O100</f>
        <v>27</v>
      </c>
      <c r="P108" s="280">
        <f>IF(O108&lt;=0,0,Q108/O108)</f>
        <v>2119.9681481481448</v>
      </c>
      <c r="Q108" s="281">
        <f>Q97+Q105+Q100</f>
        <v>57239.139999999912</v>
      </c>
      <c r="R108" s="282">
        <f>J108-O108</f>
        <v>14</v>
      </c>
      <c r="S108" s="281">
        <f>L108-Q108</f>
        <v>-3756.9999999999272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0.44568449999999987</v>
      </c>
      <c r="M109" s="286">
        <f>M108/D108</f>
        <v>-2.3809523809523808E-2</v>
      </c>
      <c r="N109" s="287">
        <f>N108/F108</f>
        <v>-0.55431550000000007</v>
      </c>
      <c r="O109" s="283"/>
      <c r="P109" s="284"/>
      <c r="Q109" s="285"/>
      <c r="R109" s="351">
        <f>O108/R108</f>
        <v>1.9285714285714286</v>
      </c>
      <c r="S109" s="352">
        <f>IF(Q108=0,0,(S108/Q108))</f>
        <v>-6.5636905096756043E-2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9">
        <f>F112/F97</f>
        <v>0.32656565656565656</v>
      </c>
      <c r="E112" s="291">
        <f t="shared" ref="E112:E121" si="34">F112/D$97</f>
        <v>489.84848484848487</v>
      </c>
      <c r="F112" s="254">
        <f>+INDEX('Budget original'!$A$2:$AO$501,MATCH($A112,'Budget original'!$A$2:$A$501,0),MATCH(F$2,'Budget original'!$A$2:$AO$2,0))</f>
        <v>16165</v>
      </c>
      <c r="G112" s="292"/>
      <c r="H112" s="291"/>
      <c r="I112" s="254"/>
      <c r="J112" s="292">
        <f>L112/L97</f>
        <v>0.84658285721880677</v>
      </c>
      <c r="K112" s="291">
        <f>IF($J$97=0,0,L112/(J$94+J$95+J96))</f>
        <v>283.09777777777776</v>
      </c>
      <c r="L112" s="256">
        <f>SUMIFS(BV_Data_An_Cour!$O:$O,BV_Data_An_Cour!$U:$U,$B112,BV_Data_An_Cour!$V:$V,$C112,BV_Data_An_Cour!$W:$W,$L$2)</f>
        <v>5095.76</v>
      </c>
      <c r="M112" s="253"/>
      <c r="N112" s="276">
        <f t="shared" ref="N112:N153" si="35">L112-F112</f>
        <v>-11069.24</v>
      </c>
      <c r="O112" s="1089">
        <f>Q112/Q97</f>
        <v>0.38884166541577969</v>
      </c>
      <c r="P112" s="291">
        <f t="shared" ref="P112:P121" si="36">Q112/O$97</f>
        <v>524.18235294117653</v>
      </c>
      <c r="Q112" s="256">
        <f t="array" ref="Q112">+INDEX('Réel 2024'!$A$2:$AO$501,MATCH($A112,'Réel 2024'!$A$2:$A$501,0),MATCH(Q$2,'Réel 2024'!$A$2:$AO$2,0))</f>
        <v>8911.1</v>
      </c>
      <c r="R112" s="253"/>
      <c r="S112" s="276">
        <f t="shared" ref="S112:S153" si="37">L112-Q112</f>
        <v>-3815.34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5">
        <f>F113/(F105)</f>
        <v>0.26135896409024167</v>
      </c>
      <c r="E113" s="294">
        <f t="shared" si="34"/>
        <v>522.71792818048334</v>
      </c>
      <c r="F113" s="248">
        <f>+INDEX('Budget original'!$A$2:$AO$501,MATCH($A113,'Budget original'!$A$2:$A$501,0),MATCH(F$2,'Budget original'!$A$2:$AO$2,0))</f>
        <v>17249.691629955949</v>
      </c>
      <c r="G113" s="295"/>
      <c r="H113" s="294"/>
      <c r="I113" s="248"/>
      <c r="J113" s="295">
        <f>L113/(L105)</f>
        <v>0.34116406358855461</v>
      </c>
      <c r="K113" s="294">
        <f>IF($J$97=0,0,L113/(J$94+J$95+J96))</f>
        <v>365.91722222222222</v>
      </c>
      <c r="L113" s="256">
        <f>SUMIFS(BV_Data_An_Cour!$O:$O,BV_Data_An_Cour!$U:$U,$B113,BV_Data_An_Cour!$V:$V,$C113,BV_Data_An_Cour!$W:$W,$L$2)</f>
        <v>6586.51</v>
      </c>
      <c r="M113" s="246"/>
      <c r="N113" s="296">
        <f t="shared" si="35"/>
        <v>-10663.181629955949</v>
      </c>
      <c r="O113" s="1090">
        <f>Q113/(Q105+Q19)</f>
        <v>0.1998205474373454</v>
      </c>
      <c r="P113" s="294">
        <f t="shared" si="36"/>
        <v>395.35823529411766</v>
      </c>
      <c r="Q113" s="256">
        <f t="array" ref="Q113">+INDEX('Réel 2024'!$A$2:$AO$501,MATCH($A113,'Réel 2024'!$A$2:$A$501,0),MATCH(Q$2,'Réel 2024'!$A$2:$AO$2,0))</f>
        <v>6721.09</v>
      </c>
      <c r="R113" s="246"/>
      <c r="S113" s="296">
        <f t="shared" si="37"/>
        <v>-134.57999999999993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264</v>
      </c>
      <c r="G114" s="298"/>
      <c r="H114" s="291"/>
      <c r="I114" s="254"/>
      <c r="J114" s="253"/>
      <c r="K114" s="291">
        <f>IF($J$97=0,0,L114/(J$94+J$95+J96))</f>
        <v>-65.816111111111113</v>
      </c>
      <c r="L114" s="272">
        <f>SUMIFS(BV_Data_An_Cour!$O:$O,BV_Data_An_Cour!$U:$U,$B114,BV_Data_An_Cour!$V:$V,$C114,BV_Data_An_Cour!$W:$W,$L$2)</f>
        <v>-1184.69</v>
      </c>
      <c r="M114" s="253"/>
      <c r="N114" s="276">
        <f t="shared" si="35"/>
        <v>-1448.69</v>
      </c>
      <c r="O114" s="253"/>
      <c r="P114" s="291">
        <f t="shared" si="36"/>
        <v>-39.458235294117642</v>
      </c>
      <c r="Q114" s="272">
        <f t="array" ref="Q114">+INDEX('Réel 2024'!$A$2:$AO$501,MATCH($A114,'Réel 2024'!$A$2:$A$501,0),MATCH(Q$2,'Réel 2024'!$A$2:$AO$2,0))</f>
        <v>-670.79</v>
      </c>
      <c r="R114" s="253"/>
      <c r="S114" s="276">
        <f t="shared" si="37"/>
        <v>-513.90000000000009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1650</v>
      </c>
      <c r="G115" s="298"/>
      <c r="H115" s="291"/>
      <c r="I115" s="254"/>
      <c r="J115" s="253"/>
      <c r="K115" s="291">
        <f>IF($J$97=0,0,L115/(J$94+J$95+J96))</f>
        <v>136.98833333333334</v>
      </c>
      <c r="L115" s="256">
        <f>SUMIFS(BV_Data_An_Cour!$O:$O,BV_Data_An_Cour!$U:$U,$B115,BV_Data_An_Cour!$V:$V,$C115,BV_Data_An_Cour!$W:$W,$L$2)</f>
        <v>2465.79</v>
      </c>
      <c r="M115" s="253"/>
      <c r="N115" s="276">
        <f t="shared" si="35"/>
        <v>815.79</v>
      </c>
      <c r="O115" s="253"/>
      <c r="P115" s="291">
        <f t="shared" si="36"/>
        <v>25.291176470588233</v>
      </c>
      <c r="Q115" s="256">
        <f t="array" ref="Q115">+INDEX('Réel 2024'!$A$2:$AO$501,MATCH($A115,'Réel 2024'!$A$2:$A$501,0),MATCH(Q$2,'Réel 2024'!$A$2:$AO$2,0))</f>
        <v>429.95</v>
      </c>
      <c r="R115" s="253"/>
      <c r="S115" s="276">
        <f t="shared" si="37"/>
        <v>2035.84</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5610</v>
      </c>
      <c r="G116" s="300"/>
      <c r="H116" s="294"/>
      <c r="I116" s="248"/>
      <c r="J116" s="246"/>
      <c r="K116" s="294">
        <f>IF($J$97=0,0,L116/(J$94+J$95+J96))</f>
        <v>523.61111111111109</v>
      </c>
      <c r="L116" s="248">
        <f>SUMIFS(BV_Data_An_Cour!$O:$O,BV_Data_An_Cour!$U:$U,$B116,BV_Data_An_Cour!$V:$V,$C116,BV_Data_An_Cour!$W:$W,$L$2)</f>
        <v>9425</v>
      </c>
      <c r="M116" s="246"/>
      <c r="N116" s="296">
        <f t="shared" si="35"/>
        <v>3815</v>
      </c>
      <c r="O116" s="246"/>
      <c r="P116" s="294">
        <f t="shared" si="36"/>
        <v>105.58823529411765</v>
      </c>
      <c r="Q116" s="248">
        <f t="array" ref="Q116">+INDEX('Réel 2024'!$A$2:$AO$501,MATCH($A116,'Réel 2024'!$A$2:$A$501,0),MATCH(Q$2,'Réel 2024'!$A$2:$AO$2,0))</f>
        <v>1795</v>
      </c>
      <c r="R116" s="246"/>
      <c r="S116" s="296">
        <f t="shared" si="37"/>
        <v>7630</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327.34090909090907</v>
      </c>
      <c r="F117" s="254">
        <f>+INDEX('Budget original'!$A$2:$AO$501,MATCH($A117,'Budget original'!$A$2:$A$501,0),MATCH(F$2,'Budget original'!$A$2:$AO$2,0))</f>
        <v>10802.25</v>
      </c>
      <c r="G117" s="298"/>
      <c r="H117" s="291"/>
      <c r="I117" s="254"/>
      <c r="J117" s="253"/>
      <c r="K117" s="291">
        <f>IF($J$97=0,0,L117/(J$94+J$95+J96))</f>
        <v>326.57888888888891</v>
      </c>
      <c r="L117" s="256">
        <f>SUMIFS(BV_Data_An_Cour!$O:$O,BV_Data_An_Cour!$U:$U,$B117,BV_Data_An_Cour!$V:$V,$C117,BV_Data_An_Cour!$W:$W,$L$2)</f>
        <v>5878.42</v>
      </c>
      <c r="M117" s="253"/>
      <c r="N117" s="276">
        <f t="shared" si="35"/>
        <v>-4923.83</v>
      </c>
      <c r="O117" s="253"/>
      <c r="P117" s="291">
        <f t="shared" si="36"/>
        <v>412.91823529411761</v>
      </c>
      <c r="Q117" s="256">
        <f t="array" ref="Q117">+INDEX('Réel 2024'!$A$2:$AO$501,MATCH($A117,'Réel 2024'!$A$2:$A$501,0),MATCH(Q$2,'Réel 2024'!$A$2:$AO$2,0))</f>
        <v>7019.61</v>
      </c>
      <c r="R117" s="253"/>
      <c r="S117" s="276">
        <f t="shared" si="37"/>
        <v>-1141.1899999999996</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0</v>
      </c>
      <c r="L118" s="895">
        <f>SUMIFS(BV_Data_An_Cour!$O:$O,BV_Data_An_Cour!$U:$U,$B118,BV_Data_An_Cour!$V:$V,$C118,BV_Data_An_Cour!$W:$W,$L$2)</f>
        <v>0</v>
      </c>
      <c r="M118" s="253"/>
      <c r="N118" s="904">
        <f t="shared" si="35"/>
        <v>0</v>
      </c>
      <c r="O118" s="253"/>
      <c r="P118" s="291">
        <f t="shared" si="36"/>
        <v>124.84764705882353</v>
      </c>
      <c r="Q118" s="256">
        <f t="array" ref="Q118">+INDEX('Réel 2024'!$A$2:$AO$501,MATCH($A118,'Réel 2024'!$A$2:$A$501,0),MATCH(Q$2,'Réel 2024'!$A$2:$AO$2,0))</f>
        <v>2122.41</v>
      </c>
      <c r="R118" s="253"/>
      <c r="S118" s="276">
        <f t="shared" si="37"/>
        <v>-2122.41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0.43117451358296627</v>
      </c>
      <c r="F122" s="307">
        <f>SUM(F112:F121)</f>
        <v>51740.941629955953</v>
      </c>
      <c r="G122" s="308"/>
      <c r="H122" s="306"/>
      <c r="I122" s="307"/>
      <c r="J122" s="308" t="s">
        <v>119</v>
      </c>
      <c r="K122" s="306">
        <f>L122/L$108</f>
        <v>0.52852765427860604</v>
      </c>
      <c r="L122" s="307">
        <f>SUM(L112:L121)</f>
        <v>28266.79</v>
      </c>
      <c r="M122" s="311"/>
      <c r="N122" s="307">
        <f t="shared" si="35"/>
        <v>-23474.151629955952</v>
      </c>
      <c r="O122" s="308" t="s">
        <v>119</v>
      </c>
      <c r="P122" s="306">
        <f>Q122/Q$108</f>
        <v>0.45997144611187457</v>
      </c>
      <c r="Q122" s="307">
        <f>SUM(Q112:Q121)</f>
        <v>26328.370000000003</v>
      </c>
      <c r="R122" s="311"/>
      <c r="S122" s="307">
        <f t="shared" si="37"/>
        <v>1938.4199999999983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11227.564102564102</v>
      </c>
      <c r="G123" s="253"/>
      <c r="H123" s="41"/>
      <c r="I123" s="254"/>
      <c r="J123" s="253"/>
      <c r="K123" s="41"/>
      <c r="L123" s="256">
        <f>SUMIFS(BV_Data_An_Cour!$O:$O,BV_Data_An_Cour!$U:$U,$B123,BV_Data_An_Cour!$V:$V,$C123,BV_Data_An_Cour!$W:$W,$L$2)</f>
        <v>8308.4699999999993</v>
      </c>
      <c r="M123" s="253"/>
      <c r="N123" s="276">
        <f t="shared" si="35"/>
        <v>-2919.0941025641023</v>
      </c>
      <c r="O123" s="253"/>
      <c r="P123" s="41"/>
      <c r="Q123" s="256">
        <f t="array" ref="Q123">+INDEX('Réel 2024'!$A$2:$AO$501,MATCH($A123,'Réel 2024'!$A$2:$A$501,0),MATCH(Q$2,'Réel 2024'!$A$2:$AO$2,0))</f>
        <v>6449.93</v>
      </c>
      <c r="R123" s="253"/>
      <c r="S123" s="276">
        <f t="shared" si="37"/>
        <v>1858.5399999999991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5795.0548270605132</v>
      </c>
      <c r="G124" s="298"/>
      <c r="H124" s="41"/>
      <c r="I124" s="248"/>
      <c r="J124" s="253"/>
      <c r="K124" s="41"/>
      <c r="L124" s="248">
        <f>SUMIFS(BV_Data_An_Cour!$O:$O,BV_Data_An_Cour!$U:$U,$B124,BV_Data_An_Cour!$V:$V,$C124,BV_Data_An_Cour!$W:$W,$L$2)</f>
        <v>2418.9899999999998</v>
      </c>
      <c r="M124" s="253"/>
      <c r="N124" s="276">
        <f t="shared" si="35"/>
        <v>-3376.0648270605134</v>
      </c>
      <c r="O124" s="253"/>
      <c r="P124" s="41"/>
      <c r="Q124" s="248">
        <f t="array" ref="Q124">+INDEX('Réel 2024'!$A$2:$AO$501,MATCH($A124,'Réel 2024'!$A$2:$A$501,0),MATCH(Q$2,'Réel 2024'!$A$2:$AO$2,0))</f>
        <v>5400.97</v>
      </c>
      <c r="R124" s="253"/>
      <c r="S124" s="276">
        <f t="shared" si="37"/>
        <v>-2981.9800000000005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0</v>
      </c>
      <c r="G125" s="316"/>
      <c r="H125" s="315"/>
      <c r="I125" s="254"/>
      <c r="J125" s="241"/>
      <c r="K125" s="315"/>
      <c r="L125" s="256">
        <f>SUMIFS(BV_Data_An_Cour!$O:$O,BV_Data_An_Cour!$U:$U,$B125,BV_Data_An_Cour!$V:$V,$C125,BV_Data_An_Cour!$W:$W,$L$2)</f>
        <v>6786.19</v>
      </c>
      <c r="M125" s="241"/>
      <c r="N125" s="317">
        <f t="shared" si="35"/>
        <v>6786.19</v>
      </c>
      <c r="O125" s="241"/>
      <c r="P125" s="315"/>
      <c r="Q125" s="256">
        <f t="array" ref="Q125">+INDEX('Réel 2024'!$A$2:$AO$501,MATCH($A125,'Réel 2024'!$A$2:$A$501,0),MATCH(Q$2,'Réel 2024'!$A$2:$AO$2,0))</f>
        <v>5999</v>
      </c>
      <c r="R125" s="241"/>
      <c r="S125" s="317">
        <f t="shared" si="37"/>
        <v>787.1899999999996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6702.5659209354708</v>
      </c>
      <c r="G130" s="298"/>
      <c r="H130" s="41"/>
      <c r="I130" s="254"/>
      <c r="J130" s="253"/>
      <c r="K130" s="41"/>
      <c r="L130" s="256">
        <f>SUMIFS(BV_Data_An_Cour!$O:$O,BV_Data_An_Cour!$U:$U,$B130,BV_Data_An_Cour!$V:$V,$C130,BV_Data_An_Cour!$W:$W,$L$2)</f>
        <v>5988.91</v>
      </c>
      <c r="M130" s="253"/>
      <c r="N130" s="276">
        <f t="shared" si="35"/>
        <v>-713.65592093547093</v>
      </c>
      <c r="O130" s="253"/>
      <c r="P130" s="41"/>
      <c r="Q130" s="256">
        <f t="array" ref="Q130">+INDEX('Réel 2024'!$A$2:$AO$501,MATCH($A130,'Réel 2024'!$A$2:$A$501,0),MATCH(Q$2,'Réel 2024'!$A$2:$AO$2,0))</f>
        <v>6772.12</v>
      </c>
      <c r="R130" s="253"/>
      <c r="S130" s="276">
        <f t="shared" si="37"/>
        <v>-783.21</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8149.3753047497357</v>
      </c>
      <c r="G131" s="316"/>
      <c r="H131" s="315"/>
      <c r="I131" s="271"/>
      <c r="J131" s="241"/>
      <c r="K131" s="315"/>
      <c r="L131" s="272">
        <f>SUMIFS(BV_Data_An_Cour!$O:$O,BV_Data_An_Cour!$U:$U,$B131,BV_Data_An_Cour!$V:$V,$C131,BV_Data_An_Cour!$W:$W,$L$2)</f>
        <v>6910.33</v>
      </c>
      <c r="M131" s="241"/>
      <c r="N131" s="317">
        <f t="shared" si="35"/>
        <v>-1239.0453047497358</v>
      </c>
      <c r="O131" s="241"/>
      <c r="P131" s="315"/>
      <c r="Q131" s="272">
        <f t="array" ref="Q131">+INDEX('Réel 2024'!$A$2:$AO$501,MATCH($A131,'Réel 2024'!$A$2:$A$501,0),MATCH(Q$2,'Réel 2024'!$A$2:$AO$2,0))</f>
        <v>8042.92</v>
      </c>
      <c r="R131" s="241"/>
      <c r="S131" s="317">
        <f t="shared" si="37"/>
        <v>-1132.5900000000001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4198.6998852732331</v>
      </c>
      <c r="G132" s="298"/>
      <c r="H132" s="41"/>
      <c r="I132" s="254"/>
      <c r="J132" s="253"/>
      <c r="K132" s="41"/>
      <c r="L132" s="256">
        <f>SUMIFS(BV_Data_An_Cour!$O:$O,BV_Data_An_Cour!$U:$U,$B132,BV_Data_An_Cour!$V:$V,$C132,BV_Data_An_Cour!$W:$W,$L$2)</f>
        <v>3815.3</v>
      </c>
      <c r="M132" s="253"/>
      <c r="N132" s="276">
        <f t="shared" si="35"/>
        <v>-383.39988527323294</v>
      </c>
      <c r="O132" s="253"/>
      <c r="P132" s="41"/>
      <c r="Q132" s="256">
        <f t="array" ref="Q132">+INDEX('Réel 2024'!$A$2:$AO$501,MATCH($A132,'Réel 2024'!$A$2:$A$501,0),MATCH(Q$2,'Réel 2024'!$A$2:$AO$2,0))</f>
        <v>4219.8599999999997</v>
      </c>
      <c r="R132" s="253"/>
      <c r="S132" s="276">
        <f t="shared" si="37"/>
        <v>-404.55999999999949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1830.6567713568245</v>
      </c>
      <c r="G133" s="298"/>
      <c r="H133" s="41"/>
      <c r="I133" s="254"/>
      <c r="J133" s="253"/>
      <c r="K133" s="41"/>
      <c r="L133" s="256">
        <f>SUMIFS(BV_Data_An_Cour!$O:$O,BV_Data_An_Cour!$U:$U,$B133,BV_Data_An_Cour!$V:$V,$C133,BV_Data_An_Cour!$W:$W,$L$2)</f>
        <v>910.52</v>
      </c>
      <c r="M133" s="253"/>
      <c r="N133" s="276">
        <f t="shared" si="35"/>
        <v>-920.13677135682451</v>
      </c>
      <c r="O133" s="253"/>
      <c r="P133" s="41"/>
      <c r="Q133" s="256">
        <f t="array" ref="Q133">+INDEX('Réel 2024'!$A$2:$AO$501,MATCH($A133,'Réel 2024'!$A$2:$A$501,0),MATCH(Q$2,'Réel 2024'!$A$2:$AO$2,0))</f>
        <v>1459.12</v>
      </c>
      <c r="R133" s="253"/>
      <c r="S133" s="276">
        <f t="shared" si="37"/>
        <v>-548.59999999999991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0.31586597343283235</v>
      </c>
      <c r="F135" s="307">
        <f>+SUM(F123:F134)</f>
        <v>37903.916811939882</v>
      </c>
      <c r="G135" s="308"/>
      <c r="H135" s="306"/>
      <c r="I135" s="307"/>
      <c r="J135" s="308" t="s">
        <v>119</v>
      </c>
      <c r="K135" s="306">
        <f>L135/L$108</f>
        <v>0.65701765112615185</v>
      </c>
      <c r="L135" s="307">
        <f>SUM(L123:L134)</f>
        <v>35138.71</v>
      </c>
      <c r="M135" s="355"/>
      <c r="N135" s="320">
        <f t="shared" si="35"/>
        <v>-2765.2068119398828</v>
      </c>
      <c r="O135" s="308" t="s">
        <v>119</v>
      </c>
      <c r="P135" s="306">
        <f>Q135/Q$108</f>
        <v>0.66988986906511983</v>
      </c>
      <c r="Q135" s="307">
        <f>+SUM(Q123:Q134)</f>
        <v>38343.920000000006</v>
      </c>
      <c r="R135" s="355"/>
      <c r="S135" s="320">
        <f t="shared" si="37"/>
        <v>-3205.2100000000064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1563.48</v>
      </c>
      <c r="M138" s="246"/>
      <c r="N138" s="296">
        <f t="shared" si="35"/>
        <v>279.32671111111108</v>
      </c>
      <c r="O138" s="246"/>
      <c r="P138" s="318"/>
      <c r="Q138" s="248">
        <f t="array" ref="Q138">+INDEX('Réel 2024'!$A$2:$AO$501,MATCH($A138,'Réel 2024'!$A$2:$A$501,0),MATCH(Q$2,'Réel 2024'!$A$2:$AO$2,0))</f>
        <v>2944.73</v>
      </c>
      <c r="R138" s="246"/>
      <c r="S138" s="296">
        <f t="shared" si="37"/>
        <v>-1381.25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3290</v>
      </c>
      <c r="G139" s="298"/>
      <c r="H139" s="41"/>
      <c r="I139" s="254"/>
      <c r="J139" s="253"/>
      <c r="K139" s="41"/>
      <c r="L139" s="256">
        <f>SUMIFS(BV_Data_An_Cour!$O:$O,BV_Data_An_Cour!$U:$U,$B139,BV_Data_An_Cour!$V:$V,$C139,BV_Data_An_Cour!$W:$W,$L$2)</f>
        <v>4160.26</v>
      </c>
      <c r="M139" s="253"/>
      <c r="N139" s="276">
        <f t="shared" si="35"/>
        <v>870.26000000000022</v>
      </c>
      <c r="O139" s="253"/>
      <c r="P139" s="41"/>
      <c r="Q139" s="256">
        <f t="array" ref="Q139">+INDEX('Réel 2024'!$A$2:$AO$501,MATCH($A139,'Réel 2024'!$A$2:$A$501,0),MATCH(Q$2,'Réel 2024'!$A$2:$AO$2,0))</f>
        <v>2511.36</v>
      </c>
      <c r="R139" s="253"/>
      <c r="S139" s="276">
        <f t="shared" si="37"/>
        <v>1648.9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229.88</v>
      </c>
      <c r="M140" s="253"/>
      <c r="N140" s="276">
        <f t="shared" si="35"/>
        <v>-520.12</v>
      </c>
      <c r="O140" s="253"/>
      <c r="P140" s="41"/>
      <c r="Q140" s="256">
        <f t="array" ref="Q140">+INDEX('Réel 2024'!$A$2:$AO$501,MATCH($A140,'Réel 2024'!$A$2:$A$501,0),MATCH(Q$2,'Réel 2024'!$A$2:$AO$2,0))</f>
        <v>520.13</v>
      </c>
      <c r="R140" s="253"/>
      <c r="S140" s="276">
        <f t="shared" si="37"/>
        <v>-290.25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1540.9199999999998</v>
      </c>
      <c r="G141" s="300"/>
      <c r="H141" s="318"/>
      <c r="I141" s="248"/>
      <c r="J141" s="246"/>
      <c r="K141" s="318"/>
      <c r="L141" s="248">
        <f>SUMIFS(BV_Data_An_Cour!$O:$O,BV_Data_An_Cour!$U:$U,$B141,BV_Data_An_Cour!$V:$V,$C141,BV_Data_An_Cour!$W:$W,$L$2)</f>
        <v>1479.64</v>
      </c>
      <c r="M141" s="246"/>
      <c r="N141" s="296">
        <f t="shared" si="35"/>
        <v>-61.279999999999745</v>
      </c>
      <c r="O141" s="246"/>
      <c r="P141" s="318"/>
      <c r="Q141" s="248">
        <f t="array" ref="Q141">+INDEX('Réel 2024'!$A$2:$AO$501,MATCH($A141,'Réel 2024'!$A$2:$A$501,0),MATCH(Q$2,'Réel 2024'!$A$2:$AO$2,0))</f>
        <v>2466.6999999999998</v>
      </c>
      <c r="R141" s="246"/>
      <c r="S141" s="296">
        <f t="shared" si="37"/>
        <v>-987.05999999999972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165.98</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747.73</v>
      </c>
      <c r="M144" s="253"/>
      <c r="N144" s="276">
        <f t="shared" si="35"/>
        <v>475.73</v>
      </c>
      <c r="O144" s="253"/>
      <c r="P144" s="41"/>
      <c r="Q144" s="256">
        <f t="array" ref="Q144">+INDEX('Réel 2024'!$A$2:$AO$501,MATCH($A144,'Réel 2024'!$A$2:$A$501,0),MATCH(Q$2,'Réel 2024'!$A$2:$AO$2,0))</f>
        <v>390.74</v>
      </c>
      <c r="R144" s="253"/>
      <c r="S144" s="276">
        <f t="shared" si="37"/>
        <v>356.99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97.12</v>
      </c>
      <c r="M145" s="253"/>
      <c r="N145" s="276">
        <f t="shared" si="35"/>
        <v>9.6200000000000045</v>
      </c>
      <c r="O145" s="253"/>
      <c r="P145" s="41"/>
      <c r="Q145" s="256">
        <f t="array" ref="Q145">+INDEX('Réel 2024'!$A$2:$AO$501,MATCH($A145,'Réel 2024'!$A$2:$A$501,0),MATCH(Q$2,'Réel 2024'!$A$2:$AO$2,0))</f>
        <v>94.99</v>
      </c>
      <c r="R145" s="253"/>
      <c r="S145" s="276">
        <f t="shared" si="37"/>
        <v>2.1300000000000097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245.66</v>
      </c>
      <c r="M146" s="253"/>
      <c r="N146" s="276">
        <f t="shared" si="35"/>
        <v>160.19</v>
      </c>
      <c r="O146" s="253"/>
      <c r="P146" s="41"/>
      <c r="Q146" s="256">
        <f t="array" ref="Q146">+INDEX('Réel 2024'!$A$2:$AO$501,MATCH($A146,'Réel 2024'!$A$2:$A$501,0),MATCH(Q$2,'Réel 2024'!$A$2:$AO$2,0))</f>
        <v>167.97</v>
      </c>
      <c r="R146" s="253"/>
      <c r="S146" s="276">
        <f t="shared" si="37"/>
        <v>77.69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13.13</v>
      </c>
      <c r="M147" s="253"/>
      <c r="N147" s="276">
        <f t="shared" si="35"/>
        <v>-31.869999999999997</v>
      </c>
      <c r="O147" s="253"/>
      <c r="P147" s="41"/>
      <c r="Q147" s="256">
        <f t="array" ref="Q147">+INDEX('Réel 2024'!$A$2:$AO$501,MATCH($A147,'Réel 2024'!$A$2:$A$501,0),MATCH(Q$2,'Réel 2024'!$A$2:$AO$2,0))</f>
        <v>26.7</v>
      </c>
      <c r="R147" s="253"/>
      <c r="S147" s="276">
        <f t="shared" si="37"/>
        <v>-13.569999999999999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254.89</v>
      </c>
      <c r="M148" s="253"/>
      <c r="N148" s="276">
        <f t="shared" si="35"/>
        <v>-161.7766666666667</v>
      </c>
      <c r="O148" s="253"/>
      <c r="P148" s="41"/>
      <c r="Q148" s="256">
        <f t="array" ref="Q148">+INDEX('Réel 2024'!$A$2:$AO$501,MATCH($A148,'Réel 2024'!$A$2:$A$501,0),MATCH(Q$2,'Réel 2024'!$A$2:$AO$2,0))</f>
        <v>240.65</v>
      </c>
      <c r="R148" s="253"/>
      <c r="S148" s="276">
        <f t="shared" si="37"/>
        <v>14.239999999999981</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648.50711871097565</v>
      </c>
      <c r="G149" s="298"/>
      <c r="H149" s="41"/>
      <c r="I149" s="254"/>
      <c r="J149" s="253"/>
      <c r="K149" s="41"/>
      <c r="L149" s="895">
        <f>SUMIFS(BV_Data_An_Cour!$O:$O,BV_Data_An_Cour!$U:$U,$B149,BV_Data_An_Cour!$V:$V,$C149,BV_Data_An_Cour!$W:$W,$L$2)</f>
        <v>1348.42</v>
      </c>
      <c r="M149" s="253"/>
      <c r="N149" s="904">
        <f t="shared" si="35"/>
        <v>699.91288128902443</v>
      </c>
      <c r="O149" s="253"/>
      <c r="P149" s="41"/>
      <c r="Q149" s="256">
        <f t="array" ref="Q149">+INDEX('Réel 2024'!$A$2:$AO$501,MATCH($A149,'Réel 2024'!$A$2:$A$501,0),MATCH(Q$2,'Réel 2024'!$A$2:$AO$2,0))</f>
        <v>481.19</v>
      </c>
      <c r="R149" s="253"/>
      <c r="S149" s="276">
        <f t="shared" si="37"/>
        <v>867.23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7.0585142285554431E-2</v>
      </c>
      <c r="F153" s="307">
        <f>+SUM(F136:F152)</f>
        <v>8470.2170742665312</v>
      </c>
      <c r="G153" s="308"/>
      <c r="H153" s="306"/>
      <c r="I153" s="307"/>
      <c r="J153" s="308" t="s">
        <v>119</v>
      </c>
      <c r="K153" s="306">
        <f>L153/L$108</f>
        <v>0.18959992999532185</v>
      </c>
      <c r="L153" s="307">
        <f>+SUM(L136:L152)</f>
        <v>10140.209999999999</v>
      </c>
      <c r="M153" s="311"/>
      <c r="N153" s="307">
        <f t="shared" si="35"/>
        <v>1669.9929257334679</v>
      </c>
      <c r="O153" s="308" t="s">
        <v>119</v>
      </c>
      <c r="P153" s="306">
        <f>Q153/Q$108</f>
        <v>0.17490025182069499</v>
      </c>
      <c r="Q153" s="307">
        <f>+SUM(Q136:Q152)</f>
        <v>10011.14</v>
      </c>
      <c r="R153" s="311"/>
      <c r="S153" s="307">
        <f t="shared" si="37"/>
        <v>129.06999999999971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0.81762562930135307</v>
      </c>
      <c r="F155" s="307">
        <f>F122+F135+F153</f>
        <v>98115.075516162367</v>
      </c>
      <c r="G155" s="308"/>
      <c r="H155" s="306"/>
      <c r="I155" s="307"/>
      <c r="J155" s="308" t="s">
        <v>119</v>
      </c>
      <c r="K155" s="306">
        <f>L155/L$108</f>
        <v>1.3751452354000795</v>
      </c>
      <c r="L155" s="307">
        <f>L122+L135+L153</f>
        <v>73545.709999999992</v>
      </c>
      <c r="M155" s="311"/>
      <c r="N155" s="320">
        <f t="shared" ref="N155:N162" si="39">L155-F155</f>
        <v>-24569.365516162376</v>
      </c>
      <c r="O155" s="308" t="s">
        <v>119</v>
      </c>
      <c r="P155" s="306">
        <f>Q155/Q$108</f>
        <v>1.3047615669976893</v>
      </c>
      <c r="Q155" s="307">
        <f>Q122+Q135+Q153</f>
        <v>74683.430000000008</v>
      </c>
      <c r="R155" s="311"/>
      <c r="S155" s="320">
        <f t="shared" ref="S155:S162" si="40">L155-Q155</f>
        <v>-1137.7200000000157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3">
        <f>E159/474</f>
        <v>0.96002109704641347</v>
      </c>
      <c r="E159" s="323">
        <f>F159/D97</f>
        <v>455.05</v>
      </c>
      <c r="F159" s="254">
        <f>+INDEX('Budget original'!$A$2:$AO$501,MATCH($A159,'Budget original'!$A$2:$A$501,0),MATCH(F$2,'Budget original'!$A$2:$AO$2,0))</f>
        <v>15016.65</v>
      </c>
      <c r="G159" s="298"/>
      <c r="H159" s="41"/>
      <c r="I159" s="254"/>
      <c r="J159" s="1104">
        <f>K159/474</f>
        <v>0.9567510548523207</v>
      </c>
      <c r="K159" s="323">
        <f>L159/J97</f>
        <v>453.5</v>
      </c>
      <c r="L159" s="256">
        <f>-SUMIFS(BV_Data_An_Cour!$O:$O,BV_Data_An_Cour!$U:$U,$B159,BV_Data_An_Cour!$V:$V,$C159,BV_Data_An_Cour!$W:$W,L$2)</f>
        <v>8163</v>
      </c>
      <c r="M159" s="253"/>
      <c r="N159" s="276">
        <f t="shared" si="39"/>
        <v>-6853.65</v>
      </c>
      <c r="O159" s="253"/>
      <c r="P159" s="41"/>
      <c r="Q159" s="256">
        <f t="array" ref="Q159">+INDEX('Réel 2024'!$A$2:$AO$501,MATCH($A159,'Réel 2024'!$A$2:$A$501,0),MATCH(Q$2,'Réel 2024'!$A$2:$AO$2,0))</f>
        <v>8208</v>
      </c>
      <c r="R159" s="253"/>
      <c r="S159" s="276">
        <f t="shared" si="40"/>
        <v>-45</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15016.65</v>
      </c>
      <c r="G163" s="308"/>
      <c r="H163" s="306"/>
      <c r="I163" s="307"/>
      <c r="J163" s="308"/>
      <c r="K163" s="306"/>
      <c r="L163" s="307">
        <f>+SUM(L156:L162)</f>
        <v>8163</v>
      </c>
      <c r="M163" s="311"/>
      <c r="N163" s="307">
        <f>SUM(N156:N159)</f>
        <v>-6853.65</v>
      </c>
      <c r="O163" s="308"/>
      <c r="P163" s="306"/>
      <c r="Q163" s="307">
        <f>+SUM(Q156:Q162)</f>
        <v>8208</v>
      </c>
      <c r="R163" s="311"/>
      <c r="S163" s="307">
        <f>+SUM(S156:S162)</f>
        <v>-45</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36901.574483837634</v>
      </c>
      <c r="G165" s="361"/>
      <c r="H165" s="333"/>
      <c r="I165" s="335"/>
      <c r="J165" s="332"/>
      <c r="K165" s="334"/>
      <c r="L165" s="335">
        <f>L108-L155+L163</f>
        <v>-11900.570000000007</v>
      </c>
      <c r="M165" s="332"/>
      <c r="N165" s="335">
        <f>L165-F165</f>
        <v>-48802.144483837641</v>
      </c>
      <c r="O165" s="332"/>
      <c r="P165" s="1091">
        <f>+Q165/Q93</f>
        <v>-1.4986400382248456E-2</v>
      </c>
      <c r="Q165" s="335">
        <f>Q108-Q155+Q163</f>
        <v>-9236.2900000000955</v>
      </c>
      <c r="R165" s="332"/>
      <c r="S165" s="335">
        <f>L165-Q165</f>
        <v>-2664.2799999999115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7" t="s">
        <v>343</v>
      </c>
      <c r="E170" s="1298"/>
      <c r="F170" s="1299"/>
      <c r="G170" s="1302"/>
      <c r="H170" s="1298"/>
      <c r="I170" s="1299"/>
      <c r="J170" s="1302" t="s">
        <v>344</v>
      </c>
      <c r="K170" s="1298"/>
      <c r="L170" s="1299"/>
      <c r="M170" s="1302" t="s">
        <v>3310</v>
      </c>
      <c r="N170" s="1299"/>
      <c r="O170" s="1297" t="s">
        <v>345</v>
      </c>
      <c r="P170" s="1298"/>
      <c r="Q170" s="1299"/>
      <c r="R170" s="1300" t="s">
        <v>3312</v>
      </c>
      <c r="S170" s="130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283.72149852865647</v>
      </c>
      <c r="E172" s="291">
        <f>+INDEX('Budget original'!$A$2:$AO$501,MATCH($A172,'Budget original'!$A$2:$A$501,0),MATCH(E$2,'Budget original'!$A$2:$AO$2,0))</f>
        <v>99302.52448502976</v>
      </c>
      <c r="F172" s="291">
        <f>+INDEX('Budget original'!$A$2:$AO$501,MATCH($A172,'Budget original'!$A$2:$A$501,0),MATCH(F$2,'Budget original'!$A$2:$AO$2,0))</f>
        <v>78151.086769718429</v>
      </c>
      <c r="G172" s="277"/>
      <c r="H172" s="291"/>
      <c r="I172" s="291"/>
      <c r="J172" s="277">
        <f>-SUMIFS(BV_Data_An_Cour!$O:$O,BV_Data_An_Cour!$U:$U,$B172,BV_Data_An_Cour!$V:$V,$C172,BV_Data_An_Cour!$W:$W,J$2)</f>
        <v>248</v>
      </c>
      <c r="K172" s="254">
        <f>-SUMIFS(BV_Data_An_Cour!$O:$O,BV_Data_An_Cour!$X:$X,"Oui",BV_Data_An_Cour!$U:$U,$B172,BV_Data_An_Cour!$V:$V,$C172)</f>
        <v>96128.41</v>
      </c>
      <c r="L172" s="256">
        <f>-SUMIFS(BV_Data_An_Cour!$O:$O,BV_Data_An_Cour!$U:$U,$B172,BV_Data_An_Cour!$V:$V,$C172,BV_Data_An_Cour!$W:$W,$L$2)</f>
        <v>75999.819999999992</v>
      </c>
      <c r="M172" s="292">
        <f>(K172-E172)/E172</f>
        <v>-3.1964086527410153E-2</v>
      </c>
      <c r="N172" s="276">
        <f>L172-F172</f>
        <v>-2151.266769718437</v>
      </c>
      <c r="O172" s="277">
        <f t="array" ref="O172">+INDEX('Réel 2024'!$A$2:$AO$501,MATCH($A172,'Réel 2024'!$A$2:$A$501,0),MATCH(O$2,'Réel 2024'!$A$2:$AO$2,0))</f>
        <v>248</v>
      </c>
      <c r="P172" s="254">
        <f t="array" ref="P172">+INDEX('Réel 2024'!$A$2:$AO$501,MATCH($A172,'Réel 2024'!$A$2:$A$501,0),MATCH(P$2,'Réel 2024'!$A$2:$AO$2,0))</f>
        <v>93892</v>
      </c>
      <c r="Q172" s="256">
        <f t="array" ref="Q172">+INDEX('Réel 2024'!$A$2:$AO$501,MATCH($A172,'Réel 2024'!$A$2:$A$501,0),MATCH(Q$2,'Réel 2024'!$A$2:$AO$2,0))</f>
        <v>74019.72</v>
      </c>
      <c r="R172" s="292">
        <f>IF(O172=0,0,J172/O172)</f>
        <v>1</v>
      </c>
      <c r="S172" s="276">
        <f>L172-Q172</f>
        <v>1980.0999999999913</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0.79060727208532822</v>
      </c>
      <c r="M173" s="292"/>
      <c r="N173" s="276"/>
      <c r="O173" s="277"/>
      <c r="P173" s="41"/>
      <c r="Q173" s="362">
        <f>Q172/P172</f>
        <v>0.78834959314957609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387.61455645161294</v>
      </c>
      <c r="L174" s="364"/>
      <c r="M174" s="295"/>
      <c r="N174" s="296"/>
      <c r="O174" s="365"/>
      <c r="P174" s="363">
        <f>IFERROR(P172/O172,0)</f>
        <v>378.59677419354841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235.88237362310653</v>
      </c>
      <c r="E175" s="291">
        <f>+INDEX('Budget original'!$A$2:$AO$501,MATCH($A175,'Budget original'!$A$2:$A$501,0),MATCH(E$2,'Budget original'!$A$2:$AO$2,0))</f>
        <v>70764.712086931962</v>
      </c>
      <c r="F175" s="291">
        <f>+INDEX('Budget original'!$A$2:$AO$501,MATCH($A175,'Budget original'!$A$2:$A$501,0),MATCH(F$2,'Budget original'!$A$2:$AO$2,0))</f>
        <v>45643.239296071115</v>
      </c>
      <c r="G175" s="367"/>
      <c r="H175" s="291"/>
      <c r="I175" s="291"/>
      <c r="J175" s="367">
        <f>-SUMIFS(BV_Data_An_Cour!$O:$O,BV_Data_An_Cour!$U:$U,$B175,BV_Data_An_Cour!$V:$V,$C175,BV_Data_An_Cour!$W:$W,J$2)</f>
        <v>186</v>
      </c>
      <c r="K175" s="271">
        <f>-SUMIFS(BV_Data_An_Cour!$O:$O,BV_Data_An_Cour!$X:$X,"Oui",BV_Data_An_Cour!$U:$U,$B175,BV_Data_An_Cour!$V:$V,$C175)</f>
        <v>68361.63</v>
      </c>
      <c r="L175" s="256">
        <f>-SUMIFS(BV_Data_An_Cour!$O:$O,BV_Data_An_Cour!$U:$U,$B175,BV_Data_An_Cour!$V:$V,$C175,BV_Data_An_Cour!$W:$W,$L$2)</f>
        <v>42956.61</v>
      </c>
      <c r="M175" s="292">
        <f>(K175-E175)/E175</f>
        <v>-3.3958763005774065E-2</v>
      </c>
      <c r="N175" s="317">
        <f>L175-F175</f>
        <v>-2686.6292960711144</v>
      </c>
      <c r="O175" s="367">
        <f t="array" ref="O175">+INDEX('Réel 2024'!$A$2:$AO$501,MATCH($A175,'Réel 2024'!$A$2:$A$501,0),MATCH(O$2,'Réel 2024'!$A$2:$AO$2,0))</f>
        <v>258</v>
      </c>
      <c r="P175" s="271">
        <f t="array" ref="P175">+INDEX('Réel 2024'!$A$2:$AO$501,MATCH($A175,'Réel 2024'!$A$2:$A$501,0),MATCH(P$2,'Réel 2024'!$A$2:$AO$2,0))</f>
        <v>67450.92</v>
      </c>
      <c r="Q175" s="256">
        <f t="array" ref="Q175">+INDEX('Réel 2024'!$A$2:$AO$501,MATCH($A175,'Réel 2024'!$A$2:$A$501,0),MATCH(Q$2,'Réel 2024'!$A$2:$AO$2,0))</f>
        <v>45677.440000000002</v>
      </c>
      <c r="R175" s="292">
        <f>IF(O175=0,0,J175/O175)</f>
        <v>0.72093023255813948</v>
      </c>
      <c r="S175" s="276">
        <f>L175-Q175</f>
        <v>-2720.8300000000017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0.62837310930122636</v>
      </c>
      <c r="M176" s="264"/>
      <c r="N176" s="265"/>
      <c r="O176" s="253"/>
      <c r="P176" s="41"/>
      <c r="Q176" s="362">
        <f>Q175/P175</f>
        <v>0.67719521097710755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367.53564516129035</v>
      </c>
      <c r="L177" s="364"/>
      <c r="M177" s="295"/>
      <c r="N177" s="296"/>
      <c r="O177" s="365"/>
      <c r="P177" s="363">
        <f>IFERROR(P175/O175,0)</f>
        <v>261.43767441860467</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234.50207116487226</v>
      </c>
      <c r="E178" s="291">
        <f>+INDEX('Budget original'!$A$2:$AO$501,MATCH($A178,'Budget original'!$A$2:$A$501,0),MATCH(E$2,'Budget original'!$A$2:$AO$2,0))</f>
        <v>73164.646203440148</v>
      </c>
      <c r="F178" s="291">
        <f>+INDEX('Budget original'!$A$2:$AO$501,MATCH($A178,'Budget original'!$A$2:$A$501,0),MATCH(F$2,'Budget original'!$A$2:$AO$2,0))</f>
        <v>54873.484652580111</v>
      </c>
      <c r="G178" s="277"/>
      <c r="H178" s="291"/>
      <c r="I178" s="291"/>
      <c r="J178" s="277">
        <f>-SUMIFS(BV_Data_An_Cour!$O:$O,BV_Data_An_Cour!$U:$U,$B178,BV_Data_An_Cour!$V:$V,$C178,BV_Data_An_Cour!$W:$W,J$2)</f>
        <v>318</v>
      </c>
      <c r="K178" s="271">
        <f>-SUMIFS(BV_Data_An_Cour!$O:$O,BV_Data_An_Cour!$X:$X,"Oui",BV_Data_An_Cour!$U:$U,$B178,BV_Data_An_Cour!$V:$V,$C178)</f>
        <v>95533.78</v>
      </c>
      <c r="L178" s="256">
        <f>-SUMIFS(BV_Data_An_Cour!$O:$O,BV_Data_An_Cour!$U:$U,$B178,BV_Data_An_Cour!$V:$V,$C178,BV_Data_An_Cour!$W:$W,$L$2)</f>
        <v>73455.53</v>
      </c>
      <c r="M178" s="292">
        <f>(K178-E178)/E178</f>
        <v>0.30573692291712429</v>
      </c>
      <c r="N178" s="276">
        <f>L178-F178</f>
        <v>18582.045347419888</v>
      </c>
      <c r="O178" s="277">
        <f t="array" ref="O178">+INDEX('Réel 2024'!$A$2:$AO$501,MATCH($A178,'Réel 2024'!$A$2:$A$501,0),MATCH(O$2,'Réel 2024'!$A$2:$AO$2,0))</f>
        <v>185</v>
      </c>
      <c r="P178" s="271">
        <f t="array" ref="P178">+INDEX('Réel 2024'!$A$2:$AO$501,MATCH($A178,'Réel 2024'!$A$2:$A$501,0),MATCH(P$2,'Réel 2024'!$A$2:$AO$2,0))</f>
        <v>64753.34</v>
      </c>
      <c r="Q178" s="256">
        <f t="array" ref="Q178">+INDEX('Réel 2024'!$A$2:$AO$501,MATCH($A178,'Réel 2024'!$A$2:$A$501,0),MATCH(Q$2,'Réel 2024'!$A$2:$AO$2,0))</f>
        <v>48754.789999999899</v>
      </c>
      <c r="R178" s="292">
        <f>IF(O178=0,0,J178/O178)</f>
        <v>1.7189189189189189</v>
      </c>
      <c r="S178" s="276">
        <f>L178-Q178</f>
        <v>24700.7400000001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0.76889588164521494</v>
      </c>
      <c r="M179" s="292"/>
      <c r="N179" s="276">
        <f>L179-F179</f>
        <v>1.889588164521494E-2</v>
      </c>
      <c r="O179" s="277"/>
      <c r="P179" s="349"/>
      <c r="Q179" s="362">
        <f>Q178/P178</f>
        <v>0.75293089128684176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300.42069182389935</v>
      </c>
      <c r="L180" s="364"/>
      <c r="M180" s="295"/>
      <c r="N180" s="296"/>
      <c r="O180" s="365"/>
      <c r="P180" s="363">
        <f>IFERROR(P178/O178,0)</f>
        <v>350.01805405405406</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3634.3077156852428</v>
      </c>
      <c r="F181" s="291">
        <f>+INDEX('Budget original'!$A$2:$AO$501,MATCH($A181,'Budget original'!$A$2:$A$501,0),MATCH(F$2,'Budget original'!$A$2:$AO$2,0))</f>
        <v>2834.7600182344895</v>
      </c>
      <c r="G181" s="367"/>
      <c r="H181" s="291"/>
      <c r="I181" s="291"/>
      <c r="J181" s="367">
        <f>-SUMIFS(BV_Data_An_Cour!$O:$O,BV_Data_An_Cour!$U:$U,$B181,BV_Data_An_Cour!$V:$V,$C181,BV_Data_An_Cour!$W:$W,J$2)</f>
        <v>0</v>
      </c>
      <c r="K181" s="271">
        <f>-SUMIFS(BV_Data_An_Cour!$O:$O,BV_Data_An_Cour!$X:$X,"Oui",BV_Data_An_Cour!$U:$U,$B181,BV_Data_An_Cour!$V:$V,$C181)</f>
        <v>4694.12</v>
      </c>
      <c r="L181" s="272">
        <f>-SUMIFS(BV_Data_An_Cour!$O:$O,BV_Data_An_Cour!$U:$U,$B181,BV_Data_An_Cour!$V:$V,$C181,BV_Data_An_Cour!$W:$W,$L$2)</f>
        <v>3785.66</v>
      </c>
      <c r="M181" s="371">
        <f>IF(E181=0,0,(K181-E181)/E181)</f>
        <v>0.29161324995699522</v>
      </c>
      <c r="N181" s="317">
        <f>L181-F181</f>
        <v>950.89998176551035</v>
      </c>
      <c r="O181" s="367">
        <f t="array" ref="O181">+INDEX('Réel 2024'!$A$2:$AO$501,MATCH($A181,'Réel 2024'!$A$2:$A$501,0),MATCH(O$2,'Réel 2024'!$A$2:$AO$2,0))</f>
        <v>0</v>
      </c>
      <c r="P181" s="271">
        <f t="array" ref="P181">+INDEX('Réel 2024'!$A$2:$AO$501,MATCH($A181,'Réel 2024'!$A$2:$A$501,0),MATCH(P$2,'Réel 2024'!$A$2:$AO$2,0))</f>
        <v>3769.71</v>
      </c>
      <c r="Q181" s="272">
        <f t="array" ref="Q181">+INDEX('Réel 2024'!$A$2:$AO$501,MATCH($A181,'Réel 2024'!$A$2:$A$501,0),MATCH(Q$2,'Réel 2024'!$A$2:$AO$2,0))</f>
        <v>2857.41</v>
      </c>
      <c r="R181" s="292">
        <f>IF(O181=0,0,J181/O181)</f>
        <v>0</v>
      </c>
      <c r="S181" s="317">
        <f>L181-Q181</f>
        <v>928.25</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0.80646851806089315</v>
      </c>
      <c r="M182" s="277">
        <f>J182-D182</f>
        <v>0</v>
      </c>
      <c r="N182" s="374"/>
      <c r="O182" s="373"/>
      <c r="P182" s="372"/>
      <c r="Q182" s="362">
        <f>IFERROR(Q181/P181,0)</f>
        <v>0.7579919940791201</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-2741.0144654697733</v>
      </c>
      <c r="G184" s="253"/>
      <c r="H184" s="291"/>
      <c r="I184" s="291"/>
      <c r="J184" s="277"/>
      <c r="K184" s="291"/>
      <c r="L184" s="291">
        <f>-SUMIFS(BV_Data_An_Cour!$O:$O,BV_Data_An_Cour!$U:$U,$B184,BV_Data_An_Cour!$V:$V,$C184,BV_Data_An_Cour!$W:$W,$L$2)</f>
        <v>-1923.54</v>
      </c>
      <c r="M184" s="373"/>
      <c r="N184" s="276">
        <f>L184-F184</f>
        <v>817.47446546977335</v>
      </c>
      <c r="O184" s="277"/>
      <c r="P184" s="291"/>
      <c r="Q184" s="256">
        <f t="array" ref="Q184">+INDEX('Réel 2024'!$A$2:$AO$501,MATCH($A184,'Réel 2024'!$A$2:$A$501,0),MATCH(Q$2,'Réel 2024'!$A$2:$AO$2,0))</f>
        <v>-1540.85</v>
      </c>
      <c r="R184" s="379"/>
      <c r="S184" s="276">
        <f t="shared" ref="S184:S185" si="41">L184-Q184</f>
        <v>-382.69000000000005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754.10594331663526</v>
      </c>
      <c r="E185" s="381">
        <f>E172+E175+E178+E181+E184</f>
        <v>246866.19049108712</v>
      </c>
      <c r="F185" s="382">
        <f>F172+F175+F178+F181+F184</f>
        <v>178761.55627113438</v>
      </c>
      <c r="G185" s="383"/>
      <c r="H185" s="381"/>
      <c r="I185" s="382"/>
      <c r="J185" s="383">
        <f t="shared" ref="J185:L185" si="42">J172+J175+J178+J181+J184</f>
        <v>752</v>
      </c>
      <c r="K185" s="381">
        <f t="shared" si="42"/>
        <v>264717.94</v>
      </c>
      <c r="L185" s="382">
        <f t="shared" si="42"/>
        <v>194274.08</v>
      </c>
      <c r="M185" s="384">
        <f>(K185-E185)/E185</f>
        <v>7.2313464526676044E-2</v>
      </c>
      <c r="N185" s="382">
        <f>L185-F185</f>
        <v>15512.523728865606</v>
      </c>
      <c r="O185" s="383">
        <f t="shared" ref="O185:Q185" si="43">O172+O175+O178+O181+O184</f>
        <v>691</v>
      </c>
      <c r="P185" s="381">
        <f t="shared" si="43"/>
        <v>229865.96999999997</v>
      </c>
      <c r="Q185" s="382">
        <f t="shared" si="43"/>
        <v>169768.50999999989</v>
      </c>
      <c r="R185" s="264">
        <f>IF(O185=0,0,J185/O185)</f>
        <v>1.0882778581765558</v>
      </c>
      <c r="S185" s="382">
        <f t="shared" si="41"/>
        <v>24505.570000000094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0.72412328280161309</v>
      </c>
      <c r="G186" s="389"/>
      <c r="H186" s="387"/>
      <c r="I186" s="265"/>
      <c r="J186" s="389"/>
      <c r="K186" s="387">
        <f>IF(J185=0,0,K185/J185)</f>
        <v>352.01853723404258</v>
      </c>
      <c r="L186" s="265">
        <f>IF(L185=0,0,L185/K185)</f>
        <v>0.73389087267753739</v>
      </c>
      <c r="M186" s="389"/>
      <c r="N186" s="388">
        <f>N185/F185</f>
        <v>8.6777739310666874E-2</v>
      </c>
      <c r="O186" s="389"/>
      <c r="P186" s="387">
        <f>IF(O185=0,0,P185/O185)</f>
        <v>332.65697539797389</v>
      </c>
      <c r="Q186" s="265">
        <f>Q185/P185</f>
        <v>0.73855434103621298</v>
      </c>
      <c r="R186" s="389"/>
      <c r="S186" s="265">
        <f>S185/Q185</f>
        <v>0.14434696988269563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21755.610381411672</v>
      </c>
      <c r="F188" s="291">
        <f>+INDEX('Budget original'!$A$2:$AO$501,MATCH($A188,'Budget original'!$A$2:$A$501,0),MATCH(F$2,'Budget original'!$A$2:$AO$2,0))</f>
        <v>4351.122076282335</v>
      </c>
      <c r="G188" s="277"/>
      <c r="H188" s="291"/>
      <c r="I188" s="291"/>
      <c r="J188" s="277"/>
      <c r="K188" s="254">
        <f>-SUMIFS(BV_Data_An_Cour!$O:$O,BV_Data_An_Cour!$X:$X,"Oui",BV_Data_An_Cour!$U:$U,$B188,BV_Data_An_Cour!$V:$V,$C188)</f>
        <v>9883.18</v>
      </c>
      <c r="L188" s="256">
        <f>-SUMIFS(BV_Data_An_Cour!$O:$O,BV_Data_An_Cour!$U:$U,$B188,BV_Data_An_Cour!$V:$V,$C188,BV_Data_An_Cour!$W:$W,$L$2)</f>
        <v>2062.7000000000007</v>
      </c>
      <c r="M188" s="292">
        <f>IF(E188=0,0,(K188-E188)/E188)</f>
        <v>-0.54571810090677386</v>
      </c>
      <c r="N188" s="276">
        <f>L188-F188</f>
        <v>-2288.4220762823343</v>
      </c>
      <c r="O188" s="277"/>
      <c r="P188" s="254">
        <f t="array" ref="P188">+INDEX('Réel 2024'!$A$2:$AO$501,MATCH($A188,'Réel 2024'!$A$2:$A$501,0),MATCH(P$2,'Réel 2024'!$A$2:$AO$2,0))</f>
        <v>19410.400000000001</v>
      </c>
      <c r="Q188" s="256">
        <f t="array" ref="Q188">+INDEX('Réel 2024'!$A$2:$AO$501,MATCH($A188,'Réel 2024'!$A$2:$A$501,0),MATCH(Q$2,'Réel 2024'!$A$2:$AO$2,0))</f>
        <v>3435.9</v>
      </c>
      <c r="R188" s="292">
        <f>IF(O188=0,0,J188/O188)</f>
        <v>0</v>
      </c>
      <c r="S188" s="276">
        <f>L188-Q188</f>
        <v>-1373.1999999999994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0.20000000000000004</v>
      </c>
      <c r="G189" s="253"/>
      <c r="H189" s="349"/>
      <c r="I189" s="362"/>
      <c r="J189" s="373"/>
      <c r="K189" s="372"/>
      <c r="L189" s="362">
        <f>IF(L188=0,0,L188/K188)</f>
        <v>0.20870812835544841</v>
      </c>
      <c r="M189" s="373"/>
      <c r="N189" s="374"/>
      <c r="O189" s="373"/>
      <c r="P189" s="372"/>
      <c r="Q189" s="362">
        <f>IFERROR(Q188/P188,0)</f>
        <v>0.1770133536660759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3354.7455837094549</v>
      </c>
      <c r="F191" s="291">
        <f>+INDEX('Budget original'!$A$2:$AO$501,MATCH($A191,'Budget original'!$A$2:$A$501,0),MATCH(F$2,'Budget original'!$A$2:$AO$2,0))</f>
        <v>2348.3219085966184</v>
      </c>
      <c r="G191" s="253"/>
      <c r="H191" s="291"/>
      <c r="I191" s="291"/>
      <c r="J191" s="277">
        <f>-SUMIFS(BV_Data_An_Cour!$O:$O,BV_Data_An_Cour!$U:$U,$B191,BV_Data_An_Cour!$V:$V,$C191,BV_Data_An_Cour!$W:$W,J$2)</f>
        <v>18</v>
      </c>
      <c r="K191" s="254">
        <f>-SUMIFS(BV_Data_An_Cour!$O:$O,BV_Data_An_Cour!$X:$X,"Oui",BV_Data_An_Cour!$U:$U,$B191,BV_Data_An_Cour!$V:$V,$C191)</f>
        <v>4094.9</v>
      </c>
      <c r="L191" s="256">
        <f>-SUMIFS(BV_Data_An_Cour!$O:$O,BV_Data_An_Cour!$U:$U,$B191,BV_Data_An_Cour!$V:$V,$C191,BV_Data_An_Cour!$W:$W,$L$2)</f>
        <v>3154.34</v>
      </c>
      <c r="M191" s="292">
        <f>IF(E191=0,0,(K191-E191)/E191)</f>
        <v>0.22062907538643559</v>
      </c>
      <c r="N191" s="276">
        <f>L191-F191</f>
        <v>806.01809140338173</v>
      </c>
      <c r="O191" s="373"/>
      <c r="P191" s="254">
        <f t="array" ref="P191">+INDEX('Réel 2024'!$A$2:$AO$501,MATCH($A191,'Réel 2024'!$A$2:$A$501,0),MATCH(P$2,'Réel 2024'!$A$2:$AO$2,0))</f>
        <v>6923.95</v>
      </c>
      <c r="Q191" s="256">
        <f t="array" ref="Q191">+INDEX('Réel 2024'!$A$2:$AO$501,MATCH($A191,'Réel 2024'!$A$2:$A$501,0),MATCH(Q$2,'Réel 2024'!$A$2:$AO$2,0))</f>
        <v>5337.95</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0.77030940926518354</v>
      </c>
      <c r="M192" s="373"/>
      <c r="N192" s="374"/>
      <c r="O192" s="373"/>
      <c r="P192" s="372"/>
      <c r="Q192" s="362">
        <f>IF(Q191=0,0,Q191/P191)</f>
        <v>0.77093999812245895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271976.54645620822</v>
      </c>
      <c r="F194" s="281">
        <f>F185+F188+F191</f>
        <v>185461.00025601333</v>
      </c>
      <c r="G194" s="282"/>
      <c r="H194" s="279"/>
      <c r="I194" s="281"/>
      <c r="J194" s="282"/>
      <c r="K194" s="279">
        <f t="shared" ref="K194:L194" si="44">K185+K188+K191</f>
        <v>278696.02</v>
      </c>
      <c r="L194" s="281">
        <f t="shared" si="44"/>
        <v>199491.12</v>
      </c>
      <c r="M194" s="399">
        <f>L195-F195</f>
        <v>3.3901115489847644E-2</v>
      </c>
      <c r="N194" s="281">
        <f>L194-F194</f>
        <v>14030.119743986666</v>
      </c>
      <c r="O194" s="282"/>
      <c r="P194" s="279">
        <f t="shared" ref="P194:Q194" si="45">P185+P188+P191</f>
        <v>256200.31999999998</v>
      </c>
      <c r="Q194" s="281">
        <f t="shared" si="45"/>
        <v>178542.3599999999</v>
      </c>
      <c r="R194" s="399"/>
      <c r="S194" s="281">
        <f>L194-Q194</f>
        <v>20948.760000000097</v>
      </c>
      <c r="T194" s="319"/>
      <c r="U194" s="1103"/>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0.6819007104565723</v>
      </c>
      <c r="G195" s="283"/>
      <c r="H195" s="284"/>
      <c r="I195" s="287"/>
      <c r="J195" s="283"/>
      <c r="K195" s="284"/>
      <c r="L195" s="287">
        <f>L194/K194</f>
        <v>0.71580182594641995</v>
      </c>
      <c r="M195" s="286"/>
      <c r="N195" s="287">
        <f>N194/F194</f>
        <v>7.5649973442498769E-2</v>
      </c>
      <c r="O195" s="283"/>
      <c r="P195" s="284"/>
      <c r="Q195" s="287">
        <f>Q194/P194</f>
        <v>0.69688578062665929</v>
      </c>
      <c r="R195" s="286"/>
      <c r="S195" s="287">
        <f>L194/S194</f>
        <v>9.5228128061039925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7153.8461538461543</v>
      </c>
      <c r="G198" s="253"/>
      <c r="H198" s="41"/>
      <c r="I198" s="254"/>
      <c r="J198" s="253"/>
      <c r="K198" s="41"/>
      <c r="L198" s="256">
        <f>SUMIFS(BV_Data_An_Cour!$O:$O,BV_Data_An_Cour!$U:$U,$B198,BV_Data_An_Cour!$V:$V,$C198,BV_Data_An_Cour!$W:$W,$L$2)</f>
        <v>12865.59</v>
      </c>
      <c r="M198" s="253"/>
      <c r="N198" s="256">
        <f t="shared" ref="N198:N229" si="46">L198-F198</f>
        <v>5711.7438461538459</v>
      </c>
      <c r="O198" s="253"/>
      <c r="P198" s="41"/>
      <c r="Q198" s="256">
        <f t="array" ref="Q198">+INDEX('Réel 2024'!$A$2:$AO$501,MATCH($A198,'Réel 2024'!$A$2:$A$501,0),MATCH(Q$2,'Réel 2024'!$A$2:$AO$2,0))</f>
        <v>14675.88</v>
      </c>
      <c r="R198" s="253"/>
      <c r="S198" s="256">
        <f t="shared" ref="S198:S229" si="47">L198-Q198</f>
        <v>-1810.2899999999991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13686.064196719999</v>
      </c>
      <c r="G199" s="298"/>
      <c r="H199" s="41"/>
      <c r="I199" s="248"/>
      <c r="J199" s="253"/>
      <c r="K199" s="41"/>
      <c r="L199" s="256">
        <f>SUMIFS(BV_Data_An_Cour!$O:$O,BV_Data_An_Cour!$U:$U,$B199,BV_Data_An_Cour!$V:$V,$C199,BV_Data_An_Cour!$W:$W,$L$2)</f>
        <v>13299.73</v>
      </c>
      <c r="M199" s="253"/>
      <c r="N199" s="256">
        <f t="shared" si="46"/>
        <v>-386.33419671999945</v>
      </c>
      <c r="O199" s="253"/>
      <c r="P199" s="41"/>
      <c r="Q199" s="256">
        <f t="array" ref="Q199">+INDEX('Réel 2024'!$A$2:$AO$501,MATCH($A199,'Réel 2024'!$A$2:$A$501,0),MATCH(Q$2,'Réel 2024'!$A$2:$AO$2,0))</f>
        <v>8467.49</v>
      </c>
      <c r="R199" s="253"/>
      <c r="S199" s="276">
        <f t="shared" si="47"/>
        <v>4832.24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19891.452097999998</v>
      </c>
      <c r="G200" s="316"/>
      <c r="H200" s="315"/>
      <c r="I200" s="254"/>
      <c r="J200" s="241"/>
      <c r="K200" s="315"/>
      <c r="L200" s="272">
        <f>SUMIFS(BV_Data_An_Cour!$O:$O,BV_Data_An_Cour!$U:$U,$B200,BV_Data_An_Cour!$V:$V,$C200,BV_Data_An_Cour!$W:$W,$L$2)</f>
        <v>15173.64</v>
      </c>
      <c r="M200" s="241"/>
      <c r="N200" s="272">
        <f t="shared" si="46"/>
        <v>-4717.8120979999985</v>
      </c>
      <c r="O200" s="241"/>
      <c r="P200" s="315"/>
      <c r="Q200" s="272">
        <f t="array" ref="Q200">+INDEX('Réel 2024'!$A$2:$AO$501,MATCH($A200,'Réel 2024'!$A$2:$A$501,0),MATCH(Q$2,'Réel 2024'!$A$2:$AO$2,0))</f>
        <v>14529.05</v>
      </c>
      <c r="R200" s="241"/>
      <c r="S200" s="317">
        <f t="shared" si="47"/>
        <v>644.59000000000015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088">
        <f>F201/E172</f>
        <v>0.26399043889633023</v>
      </c>
      <c r="F201" s="254">
        <f>+INDEX('Budget original'!$A$2:$AO$501,MATCH($A201,'Budget original'!$A$2:$A$501,0),MATCH(F$2,'Budget original'!$A$2:$AO$2,0))</f>
        <v>26214.917022316586</v>
      </c>
      <c r="G201" s="298"/>
      <c r="H201" s="41"/>
      <c r="I201" s="254"/>
      <c r="J201" s="253"/>
      <c r="K201" s="1105">
        <f>L201/K172</f>
        <v>0.1735341300246202</v>
      </c>
      <c r="L201" s="256">
        <f>SUMIFS(BV_Data_An_Cour!$O:$O,BV_Data_An_Cour!$U:$U,$B201,BV_Data_An_Cour!$V:$V,$C201,BV_Data_An_Cour!$W:$W,$L$2)</f>
        <v>16681.560000000001</v>
      </c>
      <c r="M201" s="253"/>
      <c r="N201" s="256">
        <f t="shared" si="46"/>
        <v>-9533.3570223165843</v>
      </c>
      <c r="O201" s="253"/>
      <c r="P201" s="41"/>
      <c r="Q201" s="256">
        <f t="array" ref="Q201">+INDEX('Réel 2024'!$A$2:$AO$501,MATCH($A201,'Réel 2024'!$A$2:$A$501,0),MATCH(Q$2,'Réel 2024'!$A$2:$AO$2,0))</f>
        <v>14700.61</v>
      </c>
      <c r="R201" s="253"/>
      <c r="S201" s="276">
        <f t="shared" si="47"/>
        <v>1980.9500000000007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15661.626154361753</v>
      </c>
      <c r="G205" s="298"/>
      <c r="H205" s="41"/>
      <c r="I205" s="254"/>
      <c r="J205" s="253"/>
      <c r="K205" s="41"/>
      <c r="L205" s="256">
        <f>SUMIFS(BV_Data_An_Cour!$O:$O,BV_Data_An_Cour!$U:$U,$B205,BV_Data_An_Cour!$V:$V,$C205,BV_Data_An_Cour!$W:$W,$L$2)</f>
        <v>14766.68</v>
      </c>
      <c r="M205" s="253"/>
      <c r="N205" s="256">
        <f t="shared" si="46"/>
        <v>-894.94615436175263</v>
      </c>
      <c r="O205" s="253"/>
      <c r="P205" s="41"/>
      <c r="Q205" s="256">
        <f t="array" ref="Q205">+INDEX('Réel 2024'!$A$2:$AO$501,MATCH($A205,'Réel 2024'!$A$2:$A$501,0),MATCH(Q$2,'Réel 2024'!$A$2:$AO$2,0))</f>
        <v>12747.9</v>
      </c>
      <c r="R205" s="253"/>
      <c r="S205" s="276">
        <f t="shared" si="47"/>
        <v>2018.7800000000007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19042.329597373762</v>
      </c>
      <c r="G206" s="316"/>
      <c r="H206" s="315"/>
      <c r="I206" s="272"/>
      <c r="J206" s="241"/>
      <c r="K206" s="315"/>
      <c r="L206" s="272">
        <f>SUMIFS(BV_Data_An_Cour!$O:$O,BV_Data_An_Cour!$U:$U,$B206,BV_Data_An_Cour!$V:$V,$C206,BV_Data_An_Cour!$W:$W,$L$2)</f>
        <v>18048.759999999998</v>
      </c>
      <c r="M206" s="241"/>
      <c r="N206" s="272">
        <f t="shared" si="46"/>
        <v>-993.56959737376383</v>
      </c>
      <c r="O206" s="241"/>
      <c r="P206" s="315"/>
      <c r="Q206" s="272">
        <f t="array" ref="Q206">+INDEX('Réel 2024'!$A$2:$AO$501,MATCH($A206,'Réel 2024'!$A$2:$A$501,0),MATCH(Q$2,'Réel 2024'!$A$2:$AO$2,0))</f>
        <v>15622.95</v>
      </c>
      <c r="R206" s="241"/>
      <c r="S206" s="317">
        <f t="shared" si="47"/>
        <v>2425.8099999999977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9810.9393795164815</v>
      </c>
      <c r="G207" s="298"/>
      <c r="H207" s="41"/>
      <c r="I207" s="254"/>
      <c r="J207" s="253"/>
      <c r="K207" s="41"/>
      <c r="L207" s="256">
        <f>SUMIFS(BV_Data_An_Cour!$O:$O,BV_Data_An_Cour!$U:$U,$B207,BV_Data_An_Cour!$V:$V,$C207,BV_Data_An_Cour!$W:$W,$L$2)</f>
        <v>10495.67</v>
      </c>
      <c r="M207" s="253"/>
      <c r="N207" s="256">
        <f t="shared" si="46"/>
        <v>684.73062048351858</v>
      </c>
      <c r="O207" s="253"/>
      <c r="P207" s="41"/>
      <c r="Q207" s="256">
        <f t="array" ref="Q207">+INDEX('Réel 2024'!$A$2:$AO$501,MATCH($A207,'Réel 2024'!$A$2:$A$501,0),MATCH(Q$2,'Réel 2024'!$A$2:$AO$2,0))</f>
        <v>8530.35</v>
      </c>
      <c r="R207" s="253"/>
      <c r="S207" s="276">
        <f t="shared" si="47"/>
        <v>1965.3199999999997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4277.6247646274387</v>
      </c>
      <c r="G208" s="298"/>
      <c r="H208" s="41"/>
      <c r="I208" s="254"/>
      <c r="J208" s="253"/>
      <c r="K208" s="41"/>
      <c r="L208" s="256">
        <f>SUMIFS(BV_Data_An_Cour!$O:$O,BV_Data_An_Cour!$U:$U,$B208,BV_Data_An_Cour!$V:$V,$C208,BV_Data_An_Cour!$W:$W,$L$2)</f>
        <v>3363.52</v>
      </c>
      <c r="M208" s="253"/>
      <c r="N208" s="256">
        <f t="shared" si="46"/>
        <v>-914.10476462743873</v>
      </c>
      <c r="O208" s="253"/>
      <c r="P208" s="41"/>
      <c r="Q208" s="256">
        <f t="array" ref="Q208">+INDEX('Réel 2024'!$A$2:$AO$501,MATCH($A208,'Réel 2024'!$A$2:$A$501,0),MATCH(Q$2,'Réel 2024'!$A$2:$AO$2,0))</f>
        <v>4013.11</v>
      </c>
      <c r="R208" s="253"/>
      <c r="S208" s="276">
        <f t="shared" si="47"/>
        <v>-649.59000000000015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0.6240600406931619</v>
      </c>
      <c r="F210" s="307">
        <f>+SUM(F198:F209)</f>
        <v>115738.79936676219</v>
      </c>
      <c r="G210" s="308"/>
      <c r="H210" s="306"/>
      <c r="I210" s="307"/>
      <c r="J210" s="308" t="s">
        <v>175</v>
      </c>
      <c r="K210" s="306">
        <f>L210/L$194</f>
        <v>0.52481107931019688</v>
      </c>
      <c r="L210" s="307">
        <f>+SUM(L198:L209)</f>
        <v>104695.15000000001</v>
      </c>
      <c r="M210" s="355"/>
      <c r="N210" s="307">
        <f t="shared" si="46"/>
        <v>-11043.649366762183</v>
      </c>
      <c r="O210" s="308" t="s">
        <v>175</v>
      </c>
      <c r="P210" s="306">
        <f>Q210/Q$194</f>
        <v>0.52249415768896557</v>
      </c>
      <c r="Q210" s="307">
        <f>+SUM(Q198:Q209)</f>
        <v>93287.340000000011</v>
      </c>
      <c r="R210" s="355"/>
      <c r="S210" s="320">
        <f t="shared" si="47"/>
        <v>11407.809999999998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4456.25</v>
      </c>
      <c r="G211" s="298"/>
      <c r="H211" s="41"/>
      <c r="I211" s="254"/>
      <c r="J211" s="253"/>
      <c r="K211" s="41"/>
      <c r="L211" s="256">
        <f>SUMIFS(BV_Data_An_Cour!$O:$O,BV_Data_An_Cour!$U:$U,$B211,BV_Data_An_Cour!$V:$V,$C211,BV_Data_An_Cour!$W:$W,$L$2)</f>
        <v>2352.9299999999998</v>
      </c>
      <c r="M211" s="253"/>
      <c r="N211" s="276">
        <f t="shared" si="46"/>
        <v>-2103.3200000000002</v>
      </c>
      <c r="O211" s="253"/>
      <c r="P211" s="41"/>
      <c r="Q211" s="256">
        <f t="array" ref="Q211">+INDEX('Réel 2024'!$A$2:$AO$501,MATCH($A211,'Réel 2024'!$A$2:$A$501,0),MATCH(Q$2,'Réel 2024'!$A$2:$AO$2,0))</f>
        <v>10924.02</v>
      </c>
      <c r="R211" s="253"/>
      <c r="S211" s="276">
        <f t="shared" si="47"/>
        <v>-8571.09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2669.29</v>
      </c>
      <c r="M212" s="253"/>
      <c r="N212" s="276">
        <f t="shared" si="46"/>
        <v>-752.88740332370935</v>
      </c>
      <c r="O212" s="253"/>
      <c r="P212" s="41"/>
      <c r="Q212" s="256">
        <f t="array" ref="Q212">+INDEX('Réel 2024'!$A$2:$AO$501,MATCH($A212,'Réel 2024'!$A$2:$A$501,0),MATCH(Q$2,'Réel 2024'!$A$2:$AO$2,0))</f>
        <v>3416.5899999999901</v>
      </c>
      <c r="R212" s="253"/>
      <c r="S212" s="276">
        <f t="shared" si="47"/>
        <v>-747.29999999999018</v>
      </c>
      <c r="T212" s="41"/>
      <c r="U212" s="112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18328.53</v>
      </c>
      <c r="M213" s="246"/>
      <c r="N213" s="296">
        <f t="shared" si="46"/>
        <v>7244.7906444444434</v>
      </c>
      <c r="O213" s="246"/>
      <c r="P213" s="318"/>
      <c r="Q213" s="256">
        <f t="array" ref="Q213">+INDEX('Réel 2024'!$A$2:$AO$501,MATCH($A213,'Réel 2024'!$A$2:$A$501,0),MATCH(Q$2,'Réel 2024'!$A$2:$AO$2,0))</f>
        <v>9690.11</v>
      </c>
      <c r="R213" s="246"/>
      <c r="S213" s="296">
        <f t="shared" si="47"/>
        <v>8638.4199999999983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5480</v>
      </c>
      <c r="G214" s="298"/>
      <c r="H214" s="41"/>
      <c r="I214" s="254"/>
      <c r="J214" s="253"/>
      <c r="K214" s="41"/>
      <c r="L214" s="272">
        <f>SUMIFS(BV_Data_An_Cour!$O:$O,BV_Data_An_Cour!$U:$U,$B214,BV_Data_An_Cour!$V:$V,$C214,BV_Data_An_Cour!$W:$W,$L$2)</f>
        <v>5296.92</v>
      </c>
      <c r="M214" s="253"/>
      <c r="N214" s="276">
        <f t="shared" si="46"/>
        <v>-183.07999999999993</v>
      </c>
      <c r="O214" s="253"/>
      <c r="P214" s="41"/>
      <c r="Q214" s="272">
        <f t="array" ref="Q214">+INDEX('Réel 2024'!$A$2:$AO$501,MATCH($A214,'Réel 2024'!$A$2:$A$501,0),MATCH(Q$2,'Réel 2024'!$A$2:$AO$2,0))</f>
        <v>5191.2</v>
      </c>
      <c r="R214" s="253"/>
      <c r="S214" s="276">
        <f t="shared" si="47"/>
        <v>105.72000000000025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459.73</v>
      </c>
      <c r="M215" s="253"/>
      <c r="N215" s="276">
        <f t="shared" si="46"/>
        <v>-790.27</v>
      </c>
      <c r="O215" s="253"/>
      <c r="P215" s="41"/>
      <c r="Q215" s="256">
        <f t="array" ref="Q215">+INDEX('Réel 2024'!$A$2:$AO$501,MATCH($A215,'Réel 2024'!$A$2:$A$501,0),MATCH(Q$2,'Réel 2024'!$A$2:$AO$2,0))</f>
        <v>699.39</v>
      </c>
      <c r="R215" s="253"/>
      <c r="S215" s="276">
        <f t="shared" si="47"/>
        <v>-239.65999999999997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15081.84</v>
      </c>
      <c r="G216" s="300"/>
      <c r="H216" s="318"/>
      <c r="I216" s="248"/>
      <c r="J216" s="246"/>
      <c r="K216" s="318"/>
      <c r="L216" s="256">
        <f>SUMIFS(BV_Data_An_Cour!$O:$O,BV_Data_An_Cour!$U:$U,$B216,BV_Data_An_Cour!$V:$V,$C216,BV_Data_An_Cour!$W:$W,$L$2)</f>
        <v>15291.27</v>
      </c>
      <c r="M216" s="246"/>
      <c r="N216" s="296">
        <f t="shared" si="46"/>
        <v>209.43000000000029</v>
      </c>
      <c r="O216" s="246"/>
      <c r="P216" s="318"/>
      <c r="Q216" s="256">
        <f t="array" ref="Q216">+INDEX('Réel 2024'!$A$2:$AO$501,MATCH($A216,'Réel 2024'!$A$2:$A$501,0),MATCH(Q$2,'Réel 2024'!$A$2:$AO$2,0))</f>
        <v>15317.24</v>
      </c>
      <c r="R216" s="246"/>
      <c r="S216" s="296">
        <f t="shared" si="47"/>
        <v>-25.969999999999345</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7003.95</v>
      </c>
      <c r="M218" s="253"/>
      <c r="N218" s="276">
        <f t="shared" si="46"/>
        <v>2003.9499999999998</v>
      </c>
      <c r="O218" s="253"/>
      <c r="P218" s="41"/>
      <c r="Q218" s="256">
        <f t="array" ref="Q218">+INDEX('Réel 2024'!$A$2:$AO$501,MATCH($A218,'Réel 2024'!$A$2:$A$501,0),MATCH(Q$2,'Réel 2024'!$A$2:$AO$2,0))</f>
        <v>6854.16</v>
      </c>
      <c r="R218" s="253"/>
      <c r="S218" s="276">
        <f t="shared" si="47"/>
        <v>149.78999999999996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560.16999999999996</v>
      </c>
      <c r="M219" s="253"/>
      <c r="N219" s="276">
        <f t="shared" si="46"/>
        <v>-439.83000000000004</v>
      </c>
      <c r="O219" s="253"/>
      <c r="P219" s="41"/>
      <c r="Q219" s="256">
        <f t="array" ref="Q219">+INDEX('Réel 2024'!$A$2:$AO$501,MATCH($A219,'Réel 2024'!$A$2:$A$501,0),MATCH(Q$2,'Réel 2024'!$A$2:$AO$2,0))</f>
        <v>605.89</v>
      </c>
      <c r="R219" s="253"/>
      <c r="S219" s="276">
        <f t="shared" si="47"/>
        <v>-45.720000000000027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1314.46</v>
      </c>
      <c r="M220" s="253"/>
      <c r="N220" s="276">
        <f t="shared" si="46"/>
        <v>481.46000000000004</v>
      </c>
      <c r="O220" s="253"/>
      <c r="P220" s="41"/>
      <c r="Q220" s="256">
        <f t="array" ref="Q220">+INDEX('Réel 2024'!$A$2:$AO$501,MATCH($A220,'Réel 2024'!$A$2:$A$501,0),MATCH(Q$2,'Réel 2024'!$A$2:$AO$2,0))</f>
        <v>781.46</v>
      </c>
      <c r="R220" s="253"/>
      <c r="S220" s="276">
        <f t="shared" si="47"/>
        <v>533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268.07</v>
      </c>
      <c r="M221" s="253"/>
      <c r="N221" s="276">
        <f t="shared" si="46"/>
        <v>40.569999999999993</v>
      </c>
      <c r="O221" s="253"/>
      <c r="P221" s="41"/>
      <c r="Q221" s="256">
        <f t="array" ref="Q221">+INDEX('Réel 2024'!$A$2:$AO$501,MATCH($A221,'Réel 2024'!$A$2:$A$501,0),MATCH(Q$2,'Réel 2024'!$A$2:$AO$2,0))</f>
        <v>226.91</v>
      </c>
      <c r="R221" s="253"/>
      <c r="S221" s="276">
        <f t="shared" si="47"/>
        <v>41.16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327.22000000000003</v>
      </c>
      <c r="M222" s="253"/>
      <c r="N222" s="276">
        <f t="shared" si="46"/>
        <v>156.28000000000006</v>
      </c>
      <c r="O222" s="253"/>
      <c r="P222" s="41"/>
      <c r="Q222" s="256">
        <f t="array" ref="Q222">+INDEX('Réel 2024'!$A$2:$AO$501,MATCH($A222,'Réel 2024'!$A$2:$A$501,0),MATCH(Q$2,'Réel 2024'!$A$2:$AO$2,0))</f>
        <v>335.92</v>
      </c>
      <c r="R222" s="253"/>
      <c r="S222" s="276">
        <f t="shared" si="47"/>
        <v>-8.6999999999999886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26.26</v>
      </c>
      <c r="M223" s="253"/>
      <c r="N223" s="276">
        <f t="shared" si="46"/>
        <v>-63.739999999999995</v>
      </c>
      <c r="O223" s="253"/>
      <c r="P223" s="41"/>
      <c r="Q223" s="256">
        <f t="array" ref="Q223">+INDEX('Réel 2024'!$A$2:$AO$501,MATCH($A223,'Réel 2024'!$A$2:$A$501,0),MATCH(Q$2,'Réel 2024'!$A$2:$AO$2,0))</f>
        <v>53.4</v>
      </c>
      <c r="R223" s="253"/>
      <c r="S223" s="276">
        <f t="shared" si="47"/>
        <v>-27.139999999999997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638.83000000000004</v>
      </c>
      <c r="M224" s="253"/>
      <c r="N224" s="276">
        <f t="shared" si="46"/>
        <v>-1027.8366666666666</v>
      </c>
      <c r="O224" s="253"/>
      <c r="P224" s="41"/>
      <c r="Q224" s="256">
        <f t="array" ref="Q224">+INDEX('Réel 2024'!$A$2:$AO$501,MATCH($A224,'Réel 2024'!$A$2:$A$501,0),MATCH(Q$2,'Réel 2024'!$A$2:$AO$2,0))</f>
        <v>955.51</v>
      </c>
      <c r="R224" s="253"/>
      <c r="S224" s="276">
        <f t="shared" si="47"/>
        <v>-316.67999999999995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1497.2397994669952</v>
      </c>
      <c r="G225" s="298"/>
      <c r="H225" s="41"/>
      <c r="I225" s="254"/>
      <c r="J225" s="253"/>
      <c r="K225" s="41"/>
      <c r="L225" s="256">
        <f>SUMIFS(BV_Data_An_Cour!$O:$O,BV_Data_An_Cour!$U:$U,$B225,BV_Data_An_Cour!$V:$V,$C225,BV_Data_An_Cour!$W:$W,$L$2)</f>
        <v>3033.95</v>
      </c>
      <c r="M225" s="253"/>
      <c r="N225" s="276">
        <f t="shared" si="46"/>
        <v>1536.7102005330046</v>
      </c>
      <c r="O225" s="253"/>
      <c r="P225" s="41"/>
      <c r="Q225" s="256">
        <f t="array" ref="Q225">+INDEX('Réel 2024'!$A$2:$AO$501,MATCH($A225,'Réel 2024'!$A$2:$A$501,0),MATCH(Q$2,'Réel 2024'!$A$2:$AO$2,0))</f>
        <v>1082.69</v>
      </c>
      <c r="R225" s="253"/>
      <c r="S225" s="276">
        <f t="shared" si="47"/>
        <v>1951.2599999999998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0.27638885347460485</v>
      </c>
      <c r="F229" s="307">
        <f>+SUM(F211:F228)</f>
        <v>51259.353225012921</v>
      </c>
      <c r="G229" s="308"/>
      <c r="H229" s="306"/>
      <c r="I229" s="307"/>
      <c r="J229" s="308" t="s">
        <v>175</v>
      </c>
      <c r="K229" s="306">
        <f>L229/L$194</f>
        <v>0.2885921939783585</v>
      </c>
      <c r="L229" s="307">
        <f>+SUM(L211:L228)</f>
        <v>57571.579999999994</v>
      </c>
      <c r="M229" s="311"/>
      <c r="N229" s="307">
        <f t="shared" si="46"/>
        <v>6312.2267749870734</v>
      </c>
      <c r="O229" s="308" t="s">
        <v>175</v>
      </c>
      <c r="P229" s="306">
        <f>Q229/Q$194</f>
        <v>0.31440432399347712</v>
      </c>
      <c r="Q229" s="307">
        <f>+SUM(Q211:Q228)</f>
        <v>56134.49</v>
      </c>
      <c r="R229" s="311"/>
      <c r="S229" s="307">
        <f t="shared" si="47"/>
        <v>1437.0899999999965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0.90044889416776674</v>
      </c>
      <c r="F231" s="307">
        <f>F210+F229</f>
        <v>166998.15259177511</v>
      </c>
      <c r="G231" s="308"/>
      <c r="H231" s="306"/>
      <c r="I231" s="307"/>
      <c r="J231" s="308" t="s">
        <v>119</v>
      </c>
      <c r="K231" s="306">
        <f>L231/L$194</f>
        <v>0.81340327328855544</v>
      </c>
      <c r="L231" s="307">
        <f>L210+L229</f>
        <v>162266.73000000001</v>
      </c>
      <c r="M231" s="311"/>
      <c r="N231" s="320">
        <f>L231-F231</f>
        <v>-4731.4225917751028</v>
      </c>
      <c r="O231" s="308" t="s">
        <v>119</v>
      </c>
      <c r="P231" s="306">
        <f>Q231/Q$194</f>
        <v>0.83689848168244274</v>
      </c>
      <c r="Q231" s="307">
        <f>Q210+Q229</f>
        <v>149421.83000000002</v>
      </c>
      <c r="R231" s="311"/>
      <c r="S231" s="320">
        <f>L231-Q231</f>
        <v>12844.899999999994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18462.847664238216</v>
      </c>
      <c r="G233" s="361"/>
      <c r="H233" s="333"/>
      <c r="I233" s="335"/>
      <c r="J233" s="332"/>
      <c r="K233" s="334"/>
      <c r="L233" s="335">
        <f>L194-L231</f>
        <v>37224.389999999985</v>
      </c>
      <c r="M233" s="332"/>
      <c r="N233" s="335">
        <f>L233-F233</f>
        <v>18761.542335761769</v>
      </c>
      <c r="O233" s="332"/>
      <c r="P233" s="1091">
        <f>+Q233/P194</f>
        <v>0.11366312891412425</v>
      </c>
      <c r="Q233" s="335">
        <f>Q194-Q231</f>
        <v>29120.529999999882</v>
      </c>
      <c r="R233" s="332"/>
      <c r="S233" s="335">
        <f>L233-Q233</f>
        <v>8103.8600000001024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7" t="s">
        <v>343</v>
      </c>
      <c r="E238" s="1298"/>
      <c r="F238" s="1299"/>
      <c r="G238" s="1302"/>
      <c r="H238" s="1298"/>
      <c r="I238" s="1299"/>
      <c r="J238" s="1302" t="s">
        <v>344</v>
      </c>
      <c r="K238" s="1298"/>
      <c r="L238" s="1299"/>
      <c r="M238" s="1302" t="s">
        <v>3310</v>
      </c>
      <c r="N238" s="1299"/>
      <c r="O238" s="1297" t="s">
        <v>345</v>
      </c>
      <c r="P238" s="1298"/>
      <c r="Q238" s="1299"/>
      <c r="R238" s="1300" t="s">
        <v>3312</v>
      </c>
      <c r="S238" s="130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75600</v>
      </c>
      <c r="F241" s="291">
        <f>+INDEX('Budget original'!$A$2:$AO$501,MATCH($A241,'Budget original'!$A$2:$A$501,0),MATCH(F$2,'Budget original'!$A$2:$AO$2,0))</f>
        <v>12096</v>
      </c>
      <c r="G241" s="322"/>
      <c r="H241" s="291"/>
      <c r="I241" s="291"/>
      <c r="J241" s="277">
        <f>-SUMIFS(BV_Data_An_Cour!$O:$O,BV_Data_An_Cour!$U:$U,$B241,BV_Data_An_Cour!$V:$V,$C241,BV_Data_An_Cour!$W:$W,J$2)</f>
        <v>58</v>
      </c>
      <c r="K241" s="254">
        <f>-SUMIFS(BV_Data_An_Cour!$O:$O,BV_Data_An_Cour!$X:$X,"Oui",BV_Data_An_Cour!$U:$U,$B241,BV_Data_An_Cour!$V:$V,$C241)</f>
        <v>154969.95000000001</v>
      </c>
      <c r="L241" s="256">
        <f>-SUMIFS(BV_Data_An_Cour!$O:$O,BV_Data_An_Cour!$U:$U,$B241,BV_Data_An_Cour!$V:$V,$C241,BV_Data_An_Cour!$W:$W,$L$2)</f>
        <v>18331.590000000007</v>
      </c>
      <c r="M241" s="292">
        <f>IFERROR((K241-E241)/E241,0)</f>
        <v>1.0498670634920637</v>
      </c>
      <c r="N241" s="276">
        <f>L241-F241</f>
        <v>6235.5900000000074</v>
      </c>
      <c r="O241" s="277">
        <f t="array" ref="O241">+INDEX('Réel 2024'!$A$2:$AO$501,MATCH($A241,'Réel 2024'!$A$2:$A$501,0),MATCH(O$2,'Réel 2024'!$A$2:$AO$2,0))</f>
        <v>8</v>
      </c>
      <c r="P241" s="254">
        <f t="array" ref="P241">+INDEX('Réel 2024'!$A$2:$AO$501,MATCH($A241,'Réel 2024'!$A$2:$A$501,0),MATCH(P$2,'Réel 2024'!$A$2:$AO$2,0))</f>
        <v>20608.900000000001</v>
      </c>
      <c r="Q241" s="256">
        <f t="array" ref="Q241">+INDEX('Réel 2024'!$A$2:$AO$501,MATCH($A241,'Réel 2024'!$A$2:$A$501,0),MATCH(Q$2,'Réel 2024'!$A$2:$AO$2,0))</f>
        <v>4905.91</v>
      </c>
      <c r="R241" s="292">
        <f>IF(O241=0,0,J241/O241)</f>
        <v>7.25</v>
      </c>
      <c r="S241" s="276">
        <f>L241-Q241</f>
        <v>13425.680000000008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0.11829125582088661</v>
      </c>
      <c r="M242" s="292"/>
      <c r="N242" s="276">
        <f>IFERROR(N241/M241,0)</f>
        <v>5939.4091088629948</v>
      </c>
      <c r="O242" s="277"/>
      <c r="P242" s="41"/>
      <c r="Q242" s="362">
        <f>IFERROR(Q241/P241,0)</f>
        <v>0.23804812483926846</v>
      </c>
      <c r="R242" s="277"/>
      <c r="S242" s="276">
        <f>IFERROR(S241/R241,0)</f>
        <v>1851.8179310344838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75600</v>
      </c>
      <c r="F250" s="281">
        <f>F244+F247+F241</f>
        <v>12096</v>
      </c>
      <c r="G250" s="282"/>
      <c r="H250" s="279"/>
      <c r="I250" s="281"/>
      <c r="J250" s="282"/>
      <c r="K250" s="279">
        <f t="shared" ref="K250:L250" si="48">K244+K247+K241</f>
        <v>154969.95000000001</v>
      </c>
      <c r="L250" s="281">
        <f t="shared" si="48"/>
        <v>18331.590000000007</v>
      </c>
      <c r="M250" s="399">
        <f>L251-F251</f>
        <v>-4.1708744179113397E-2</v>
      </c>
      <c r="N250" s="281">
        <f>L250-F250</f>
        <v>6235.5900000000074</v>
      </c>
      <c r="O250" s="282"/>
      <c r="P250" s="279">
        <f t="shared" ref="P250:Q250" si="49">P244+P247+P241</f>
        <v>20608.900000000001</v>
      </c>
      <c r="Q250" s="281">
        <f t="shared" si="49"/>
        <v>4905.91</v>
      </c>
      <c r="R250" s="405">
        <f>L251-Q251</f>
        <v>-0.11975686901838185</v>
      </c>
      <c r="S250" s="281">
        <f>L250-Q250</f>
        <v>13425.680000000008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0.11829125582088661</v>
      </c>
      <c r="M251" s="286"/>
      <c r="N251" s="287">
        <f>N250/F250</f>
        <v>0.51550843253968315</v>
      </c>
      <c r="O251" s="283"/>
      <c r="P251" s="284"/>
      <c r="Q251" s="287">
        <f>Q250/P250</f>
        <v>0.23804812483926846</v>
      </c>
      <c r="R251" s="286"/>
      <c r="S251" s="287">
        <f>S250/Q250</f>
        <v>2.736633978201803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0</v>
      </c>
      <c r="G254" s="253"/>
      <c r="H254" s="41"/>
      <c r="I254" s="254"/>
      <c r="J254" s="253"/>
      <c r="K254" s="41"/>
      <c r="L254" s="256">
        <f>SUMIFS(BV_Data_An_Cour!$O:$O,BV_Data_An_Cour!$U:$U,$B254,BV_Data_An_Cour!$V:$V,$C254,BV_Data_An_Cour!$W:$W,$L$2)</f>
        <v>70</v>
      </c>
      <c r="M254" s="253"/>
      <c r="N254" s="276">
        <f t="shared" ref="N254:N284" si="50">L254-F254</f>
        <v>70</v>
      </c>
      <c r="O254" s="253"/>
      <c r="P254" s="41"/>
      <c r="Q254" s="256">
        <f t="array" ref="Q254">+INDEX('Réel 2024'!$A$2:$AO$501,MATCH($A254,'Réel 2024'!$A$2:$A$501,0),MATCH(Q$2,'Réel 2024'!$A$2:$AO$2,0))</f>
        <v>901.88</v>
      </c>
      <c r="R254" s="253"/>
      <c r="S254" s="256">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5804.7936147466653</v>
      </c>
      <c r="G255" s="298"/>
      <c r="H255" s="41"/>
      <c r="I255" s="248"/>
      <c r="J255" s="253"/>
      <c r="K255" s="41"/>
      <c r="L255" s="256">
        <f>SUMIFS(BV_Data_An_Cour!$O:$O,BV_Data_An_Cour!$U:$U,$B255,BV_Data_An_Cour!$V:$V,$C255,BV_Data_An_Cour!$W:$W,$L$2)</f>
        <v>5807.25</v>
      </c>
      <c r="M255" s="253"/>
      <c r="N255" s="276">
        <f t="shared" si="50"/>
        <v>2.4563852533347017</v>
      </c>
      <c r="O255" s="253"/>
      <c r="P255" s="41"/>
      <c r="Q255" s="256">
        <f t="array" ref="Q255">+INDEX('Réel 2024'!$A$2:$AO$501,MATCH($A255,'Réel 2024'!$A$2:$A$501,0),MATCH(Q$2,'Réel 2024'!$A$2:$AO$2,0))</f>
        <v>3202.8</v>
      </c>
      <c r="R255" s="253"/>
      <c r="S255" s="276">
        <f t="shared" si="51"/>
        <v>2604.4499999999998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0</v>
      </c>
      <c r="G256" s="316"/>
      <c r="H256" s="315"/>
      <c r="I256" s="254"/>
      <c r="J256" s="241"/>
      <c r="K256" s="315"/>
      <c r="L256" s="272">
        <f>SUMIFS(BV_Data_An_Cour!$O:$O,BV_Data_An_Cour!$U:$U,$B256,BV_Data_An_Cour!$V:$V,$C256,BV_Data_An_Cour!$W:$W,$L$2)</f>
        <v>0</v>
      </c>
      <c r="M256" s="241"/>
      <c r="N256" s="317">
        <f t="shared" si="50"/>
        <v>0</v>
      </c>
      <c r="O256" s="241"/>
      <c r="P256" s="315"/>
      <c r="Q256" s="272">
        <f t="array" ref="Q256">+INDEX('Réel 2024'!$A$2:$AO$501,MATCH($A256,'Réel 2024'!$A$2:$A$501,0),MATCH(Q$2,'Réel 2024'!$A$2:$AO$2,0))</f>
        <v>0.08</v>
      </c>
      <c r="R256" s="241"/>
      <c r="S256" s="317">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695.88268087951576</v>
      </c>
      <c r="G261" s="298"/>
      <c r="H261" s="41"/>
      <c r="I261" s="248"/>
      <c r="J261" s="253"/>
      <c r="K261" s="41"/>
      <c r="L261" s="256">
        <f>SUMIFS(BV_Data_An_Cour!$O:$O,BV_Data_An_Cour!$U:$U,$B261,BV_Data_An_Cour!$V:$V,$C261,BV_Data_An_Cour!$W:$W,$L$2)</f>
        <v>40.94</v>
      </c>
      <c r="M261" s="253"/>
      <c r="N261" s="276">
        <f t="shared" si="50"/>
        <v>-654.94268087951582</v>
      </c>
      <c r="O261" s="253"/>
      <c r="P261" s="41"/>
      <c r="Q261" s="256">
        <f t="array" ref="Q261">+INDEX('Réel 2024'!$A$2:$AO$501,MATCH($A261,'Réel 2024'!$A$2:$A$501,0),MATCH(Q$2,'Réel 2024'!$A$2:$AO$2,0))</f>
        <v>292.58999999999997</v>
      </c>
      <c r="R261" s="253"/>
      <c r="S261" s="276">
        <f t="shared" si="51"/>
        <v>-251.64999999999998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846.09524195042445</v>
      </c>
      <c r="G262" s="316"/>
      <c r="H262" s="315"/>
      <c r="I262" s="254"/>
      <c r="J262" s="241"/>
      <c r="K262" s="315"/>
      <c r="L262" s="272">
        <f>SUMIFS(BV_Data_An_Cour!$O:$O,BV_Data_An_Cour!$U:$U,$B262,BV_Data_An_Cour!$V:$V,$C262,BV_Data_An_Cour!$W:$W,$L$2)</f>
        <v>622.03</v>
      </c>
      <c r="M262" s="241"/>
      <c r="N262" s="317">
        <f t="shared" si="50"/>
        <v>-224.06524195042448</v>
      </c>
      <c r="O262" s="241"/>
      <c r="P262" s="315"/>
      <c r="Q262" s="272">
        <f t="array" ref="Q262">+INDEX('Réel 2024'!$A$2:$AO$501,MATCH($A262,'Réel 2024'!$A$2:$A$501,0),MATCH(Q$2,'Réel 2024'!$A$2:$AO$2,0))</f>
        <v>1514.91</v>
      </c>
      <c r="R262" s="241"/>
      <c r="S262" s="317">
        <f t="shared" si="51"/>
        <v>-892.88000000000011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435.92298335271863</v>
      </c>
      <c r="G263" s="298"/>
      <c r="H263" s="41"/>
      <c r="I263" s="254"/>
      <c r="J263" s="253"/>
      <c r="K263" s="41"/>
      <c r="L263" s="256">
        <f>SUMIFS(BV_Data_An_Cour!$O:$O,BV_Data_An_Cour!$U:$U,$B263,BV_Data_An_Cour!$V:$V,$C263,BV_Data_An_Cour!$W:$W,$L$2)</f>
        <v>347.56</v>
      </c>
      <c r="M263" s="253"/>
      <c r="N263" s="276">
        <f t="shared" si="50"/>
        <v>-88.362983352718629</v>
      </c>
      <c r="O263" s="253"/>
      <c r="P263" s="41"/>
      <c r="Q263" s="256">
        <f t="array" ref="Q263">+INDEX('Réel 2024'!$A$2:$AO$501,MATCH($A263,'Réel 2024'!$A$2:$A$501,0),MATCH(Q$2,'Réel 2024'!$A$2:$AO$2,0))</f>
        <v>383.38</v>
      </c>
      <c r="R263" s="253"/>
      <c r="S263" s="276">
        <f t="shared" si="51"/>
        <v>-35.819999999999993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190.06487319176199</v>
      </c>
      <c r="G264" s="298"/>
      <c r="H264" s="41"/>
      <c r="I264" s="254"/>
      <c r="J264" s="253"/>
      <c r="K264" s="41"/>
      <c r="L264" s="256">
        <f>SUMIFS(BV_Data_An_Cour!$O:$O,BV_Data_An_Cour!$U:$U,$B264,BV_Data_An_Cour!$V:$V,$C264,BV_Data_An_Cour!$W:$W,$L$2)</f>
        <v>262.89</v>
      </c>
      <c r="M264" s="253"/>
      <c r="N264" s="276">
        <f t="shared" si="50"/>
        <v>72.825126808237997</v>
      </c>
      <c r="O264" s="253"/>
      <c r="P264" s="41"/>
      <c r="Q264" s="256">
        <f t="array" ref="Q264">+INDEX('Réel 2024'!$A$2:$AO$501,MATCH($A264,'Réel 2024'!$A$2:$A$501,0),MATCH(Q$2,'Réel 2024'!$A$2:$AO$2,0))</f>
        <v>340.27</v>
      </c>
      <c r="R264" s="253"/>
      <c r="S264" s="276">
        <f t="shared" si="51"/>
        <v>-77.38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0.65912362715948136</v>
      </c>
      <c r="F266" s="307">
        <f>+SUM(F254:F265)</f>
        <v>7972.7593941210862</v>
      </c>
      <c r="G266" s="308"/>
      <c r="H266" s="306"/>
      <c r="I266" s="307"/>
      <c r="J266" s="308" t="s">
        <v>119</v>
      </c>
      <c r="K266" s="306">
        <f>IF(L250=0,0,L266/L$250)</f>
        <v>0.39007363791138672</v>
      </c>
      <c r="L266" s="307">
        <f>+SUM(L254:L265)</f>
        <v>7150.67</v>
      </c>
      <c r="M266" s="355"/>
      <c r="N266" s="320">
        <f t="shared" si="50"/>
        <v>-822.08939412108612</v>
      </c>
      <c r="O266" s="308" t="s">
        <v>119</v>
      </c>
      <c r="P266" s="306">
        <f>IF(Q244=0,0,Q266/Q$244)</f>
        <v>0</v>
      </c>
      <c r="Q266" s="307">
        <f>+SUM(Q254:Q265)</f>
        <v>6635.91</v>
      </c>
      <c r="R266" s="355"/>
      <c r="S266" s="320">
        <f t="shared" si="51"/>
        <v>514.76000000000022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545.44000000000005</v>
      </c>
      <c r="M267" s="253"/>
      <c r="N267" s="276">
        <f t="shared" si="50"/>
        <v>545.44000000000005</v>
      </c>
      <c r="O267" s="253"/>
      <c r="P267" s="41"/>
      <c r="Q267" s="276">
        <f t="array" ref="Q267">+INDEX('Réel 2024'!$A$2:$AO$501,MATCH($A267,'Réel 2024'!$A$2:$A$501,0),MATCH(Q$2,'Réel 2024'!$A$2:$AO$2,0))</f>
        <v>24.5</v>
      </c>
      <c r="R267" s="253"/>
      <c r="S267" s="276">
        <f t="shared" si="51"/>
        <v>520.94000000000005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464.11</v>
      </c>
      <c r="M268" s="253"/>
      <c r="N268" s="276">
        <f t="shared" si="50"/>
        <v>-97.567981280571075</v>
      </c>
      <c r="O268" s="253"/>
      <c r="P268" s="41"/>
      <c r="Q268" s="276">
        <f t="array" ref="Q268">+INDEX('Réel 2024'!$A$2:$AO$501,MATCH($A268,'Réel 2024'!$A$2:$A$501,0),MATCH(Q$2,'Réel 2024'!$A$2:$AO$2,0))</f>
        <v>0</v>
      </c>
      <c r="R268" s="253"/>
      <c r="S268" s="276">
        <f t="shared" si="51"/>
        <v>464.11</v>
      </c>
      <c r="T268" s="41"/>
      <c r="U268" s="112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116.3</v>
      </c>
      <c r="M269" s="246"/>
      <c r="N269" s="296">
        <f t="shared" si="50"/>
        <v>-8.2036000000000087</v>
      </c>
      <c r="O269" s="246"/>
      <c r="P269" s="318"/>
      <c r="Q269" s="296">
        <f t="array" ref="Q269">+INDEX('Réel 2024'!$A$2:$AO$501,MATCH($A269,'Réel 2024'!$A$2:$A$501,0),MATCH(Q$2,'Réel 2024'!$A$2:$AO$2,0))</f>
        <v>157.77000000000001</v>
      </c>
      <c r="R269" s="246"/>
      <c r="S269" s="296">
        <f t="shared" si="51"/>
        <v>-41.470000000000013</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1690</v>
      </c>
      <c r="G270" s="298"/>
      <c r="H270" s="41"/>
      <c r="I270" s="254"/>
      <c r="J270" s="253"/>
      <c r="K270" s="41"/>
      <c r="L270" s="272">
        <f>SUMIFS(BV_Data_An_Cour!$O:$O,BV_Data_An_Cour!$U:$U,$B270,BV_Data_An_Cour!$V:$V,$C270,BV_Data_An_Cour!$W:$W,$L$2)</f>
        <v>872.34</v>
      </c>
      <c r="M270" s="253"/>
      <c r="N270" s="276">
        <f t="shared" si="50"/>
        <v>-817.66</v>
      </c>
      <c r="O270" s="253"/>
      <c r="P270" s="41"/>
      <c r="Q270" s="276">
        <f t="array" ref="Q270">+INDEX('Réel 2024'!$A$2:$AO$501,MATCH($A270,'Réel 2024'!$A$2:$A$501,0),MATCH(Q$2,'Réel 2024'!$A$2:$AO$2,0))</f>
        <v>1160.31</v>
      </c>
      <c r="R270" s="253"/>
      <c r="S270" s="276">
        <f t="shared" si="51"/>
        <v>-287.96999999999991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134.09</v>
      </c>
      <c r="M271" s="253"/>
      <c r="N271" s="276">
        <f t="shared" si="50"/>
        <v>-115.91</v>
      </c>
      <c r="O271" s="253"/>
      <c r="P271" s="41"/>
      <c r="Q271" s="276">
        <f t="array" ref="Q271">+INDEX('Réel 2024'!$A$2:$AO$501,MATCH($A271,'Réel 2024'!$A$2:$A$501,0),MATCH(Q$2,'Réel 2024'!$A$2:$AO$2,0))</f>
        <v>203.97</v>
      </c>
      <c r="R271" s="253"/>
      <c r="S271" s="276">
        <f t="shared" si="51"/>
        <v>-69.88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898.87000000000012</v>
      </c>
      <c r="G272" s="300"/>
      <c r="H272" s="318"/>
      <c r="I272" s="248"/>
      <c r="J272" s="246"/>
      <c r="K272" s="318"/>
      <c r="L272" s="256">
        <f>SUMIFS(BV_Data_An_Cour!$O:$O,BV_Data_An_Cour!$U:$U,$B272,BV_Data_An_Cour!$V:$V,$C272,BV_Data_An_Cour!$W:$W,$L$2)</f>
        <v>708.31</v>
      </c>
      <c r="M272" s="246"/>
      <c r="N272" s="296">
        <f t="shared" si="50"/>
        <v>-190.56000000000017</v>
      </c>
      <c r="O272" s="246"/>
      <c r="P272" s="318"/>
      <c r="Q272" s="296">
        <f t="array" ref="Q272">+INDEX('Réel 2024'!$A$2:$AO$501,MATCH($A272,'Réel 2024'!$A$2:$A$501,0),MATCH(Q$2,'Réel 2024'!$A$2:$AO$2,0))</f>
        <v>841.55</v>
      </c>
      <c r="R272" s="246"/>
      <c r="S272" s="296">
        <f t="shared" si="51"/>
        <v>-133.24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22.42</v>
      </c>
      <c r="M276" s="253"/>
      <c r="N276" s="276">
        <f t="shared" si="50"/>
        <v>-96.58</v>
      </c>
      <c r="O276" s="253"/>
      <c r="P276" s="41"/>
      <c r="Q276" s="276">
        <f t="array" ref="Q276">+INDEX('Réel 2024'!$A$2:$AO$501,MATCH($A276,'Réel 2024'!$A$2:$A$501,0),MATCH(Q$2,'Réel 2024'!$A$2:$AO$2,0))</f>
        <v>227.94</v>
      </c>
      <c r="R276" s="253"/>
      <c r="S276" s="276">
        <f t="shared" si="51"/>
        <v>-205.51999999999998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35.119999999999997</v>
      </c>
      <c r="M277" s="253"/>
      <c r="N277" s="276">
        <f t="shared" si="50"/>
        <v>4.4949999999999974</v>
      </c>
      <c r="O277" s="253"/>
      <c r="P277" s="41"/>
      <c r="Q277" s="276">
        <f t="array" ref="Q277">+INDEX('Réel 2024'!$A$2:$AO$501,MATCH($A277,'Réel 2024'!$A$2:$A$501,0),MATCH(Q$2,'Réel 2024'!$A$2:$AO$2,0))</f>
        <v>33.880000000000003</v>
      </c>
      <c r="R277" s="253"/>
      <c r="S277" s="276">
        <f t="shared" si="51"/>
        <v>1.2399999999999949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52.96</v>
      </c>
      <c r="M278" s="253"/>
      <c r="N278" s="276">
        <f t="shared" si="50"/>
        <v>3.102499999999992</v>
      </c>
      <c r="O278" s="253"/>
      <c r="P278" s="41"/>
      <c r="Q278" s="276">
        <f t="array" ref="Q278">+INDEX('Réel 2024'!$A$2:$AO$501,MATCH($A278,'Réel 2024'!$A$2:$A$501,0),MATCH(Q$2,'Réel 2024'!$A$2:$AO$2,0))</f>
        <v>97.98</v>
      </c>
      <c r="R278" s="253"/>
      <c r="S278" s="276">
        <f t="shared" si="51"/>
        <v>-45.02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7.66</v>
      </c>
      <c r="M279" s="253"/>
      <c r="N279" s="276">
        <f t="shared" si="50"/>
        <v>-18.590000000000003</v>
      </c>
      <c r="O279" s="253"/>
      <c r="P279" s="41"/>
      <c r="Q279" s="276">
        <f t="array" ref="Q279">+INDEX('Réel 2024'!$A$2:$AO$501,MATCH($A279,'Réel 2024'!$A$2:$A$501,0),MATCH(Q$2,'Réel 2024'!$A$2:$AO$2,0))</f>
        <v>15.58</v>
      </c>
      <c r="R279" s="253"/>
      <c r="S279" s="276">
        <f t="shared" si="51"/>
        <v>-7.92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148.69</v>
      </c>
      <c r="M280" s="253"/>
      <c r="N280" s="276">
        <f t="shared" si="50"/>
        <v>-17.976666666666659</v>
      </c>
      <c r="O280" s="253"/>
      <c r="P280" s="41"/>
      <c r="Q280" s="276">
        <f t="array" ref="Q280">+INDEX('Réel 2024'!$A$2:$AO$501,MATCH($A280,'Réel 2024'!$A$2:$A$501,0),MATCH(Q$2,'Réel 2024'!$A$2:$AO$2,0))</f>
        <v>66.58</v>
      </c>
      <c r="R280" s="253"/>
      <c r="S280" s="276">
        <f t="shared" si="51"/>
        <v>82.11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163.26887824751336</v>
      </c>
      <c r="G281" s="298"/>
      <c r="H281" s="41"/>
      <c r="I281" s="254"/>
      <c r="J281" s="253"/>
      <c r="K281" s="41"/>
      <c r="L281" s="256">
        <f>SUMIFS(BV_Data_An_Cour!$O:$O,BV_Data_An_Cour!$U:$U,$B281,BV_Data_An_Cour!$V:$V,$C281,BV_Data_An_Cour!$W:$W,$L$2)</f>
        <v>337.12</v>
      </c>
      <c r="M281" s="253"/>
      <c r="N281" s="276">
        <f t="shared" si="50"/>
        <v>173.85112175248665</v>
      </c>
      <c r="O281" s="253"/>
      <c r="P281" s="41"/>
      <c r="Q281" s="276">
        <f t="array" ref="Q281">+INDEX('Réel 2024'!$A$2:$AO$501,MATCH($A281,'Réel 2024'!$A$2:$A$501,0),MATCH(Q$2,'Réel 2024'!$A$2:$AO$2,0))</f>
        <v>120.3</v>
      </c>
      <c r="R281" s="253"/>
      <c r="S281" s="276">
        <f t="shared" si="51"/>
        <v>216.82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4080.7196261947515</v>
      </c>
      <c r="G285" s="308"/>
      <c r="H285" s="306"/>
      <c r="I285" s="307"/>
      <c r="J285" s="308" t="s">
        <v>119</v>
      </c>
      <c r="K285" s="306">
        <f>L285/L$250</f>
        <v>0.18790295877226135</v>
      </c>
      <c r="L285" s="307">
        <f>+SUM(L267:L284)</f>
        <v>3444.56</v>
      </c>
      <c r="M285" s="311"/>
      <c r="N285" s="307">
        <f>+SUM(N267:N284)</f>
        <v>-636.15962619475135</v>
      </c>
      <c r="O285" s="308" t="s">
        <v>119</v>
      </c>
      <c r="P285" s="306">
        <f>IF(Q$244=0,0,Q285/Q$244)</f>
        <v>0</v>
      </c>
      <c r="Q285" s="307">
        <f>+SUM(Q267:Q284)</f>
        <v>2950.36</v>
      </c>
      <c r="R285" s="311"/>
      <c r="S285" s="307">
        <f t="shared" si="51"/>
        <v>494.19999999999982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12053.479020315837</v>
      </c>
      <c r="G287" s="308"/>
      <c r="H287" s="306"/>
      <c r="I287" s="307"/>
      <c r="J287" s="308" t="s">
        <v>119</v>
      </c>
      <c r="K287" s="306">
        <f>L287/L$250</f>
        <v>0.57797659668364798</v>
      </c>
      <c r="L287" s="307">
        <f>L266+L285</f>
        <v>10595.23</v>
      </c>
      <c r="M287" s="311"/>
      <c r="N287" s="320">
        <f>L287-F287</f>
        <v>-1458.2490203158377</v>
      </c>
      <c r="O287" s="308" t="s">
        <v>119</v>
      </c>
      <c r="P287" s="306">
        <f>IF(Q$244=0,0,Q287/Q$244)</f>
        <v>0</v>
      </c>
      <c r="Q287" s="307">
        <f>Q266+Q285</f>
        <v>9586.27</v>
      </c>
      <c r="R287" s="311"/>
      <c r="S287" s="320">
        <f>L287-Q287</f>
        <v>1008.9599999999991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42.520979684162739</v>
      </c>
      <c r="G289" s="361"/>
      <c r="H289" s="333"/>
      <c r="I289" s="335"/>
      <c r="J289" s="332"/>
      <c r="K289" s="334"/>
      <c r="L289" s="335">
        <f>L250-L287</f>
        <v>7736.3600000000079</v>
      </c>
      <c r="M289" s="332"/>
      <c r="N289" s="335">
        <f>L289-F289</f>
        <v>7693.8390203158451</v>
      </c>
      <c r="O289" s="332"/>
      <c r="P289" s="1091">
        <f>+Q289/P250</f>
        <v>-0.22710382407600602</v>
      </c>
      <c r="Q289" s="335">
        <f>Q250-Q287</f>
        <v>-4680.3600000000006</v>
      </c>
      <c r="R289" s="332"/>
      <c r="S289" s="335">
        <f>L289-Q289</f>
        <v>12416.720000000008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7" t="s">
        <v>343</v>
      </c>
      <c r="E293" s="1298"/>
      <c r="F293" s="1299"/>
      <c r="G293" s="1302"/>
      <c r="H293" s="1298"/>
      <c r="I293" s="1299"/>
      <c r="J293" s="1302" t="s">
        <v>344</v>
      </c>
      <c r="K293" s="1298"/>
      <c r="L293" s="1299"/>
      <c r="M293" s="1302" t="s">
        <v>3310</v>
      </c>
      <c r="N293" s="1299"/>
      <c r="O293" s="1297" t="s">
        <v>345</v>
      </c>
      <c r="P293" s="1298"/>
      <c r="Q293" s="1299"/>
      <c r="R293" s="1300" t="s">
        <v>3312</v>
      </c>
      <c r="S293" s="130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66847.808400036345</v>
      </c>
      <c r="E295" s="353">
        <f>IF(D295=0,0,F295/D295)</f>
        <v>0.35</v>
      </c>
      <c r="F295" s="276">
        <f>+INDEX('Budget original'!$A$2:$AO$501,MATCH($A295,'Budget original'!$A$2:$A$501,0),MATCH(F$2,'Budget original'!$A$2:$AO$2,0))</f>
        <v>23396.73294001272</v>
      </c>
      <c r="G295" s="291"/>
      <c r="H295" s="353"/>
      <c r="I295" s="276"/>
      <c r="J295" s="254">
        <f>-SUMIFS(BV_Data_An_Cour!$O:$O,BV_Data_An_Cour!$X:$X,"Oui",BV_Data_An_Cour!$U:$U,$B295,BV_Data_An_Cour!$V:$V,$C295)</f>
        <v>69022.350000000006</v>
      </c>
      <c r="K295" s="353">
        <f t="shared" ref="K295:K304" si="52">IF(J295&lt;=0,0,L295/J295)</f>
        <v>0.37454186940896683</v>
      </c>
      <c r="L295" s="276">
        <f>-SUMIFS(BV_Data_An_Cour!$O:$O,BV_Data_An_Cour!$U:$U,$B295,BV_Data_An_Cour!$V:$V,$C295,BV_Data_An_Cour!$W:$W,$L$2)</f>
        <v>25851.760000000006</v>
      </c>
      <c r="M295" s="292">
        <f t="shared" ref="M295:M301" si="53">(+J295-D295)/D295</f>
        <v>3.2529736606330961E-2</v>
      </c>
      <c r="N295" s="276">
        <f t="shared" ref="N295:N304" si="54">L295-F295</f>
        <v>2455.0270599872856</v>
      </c>
      <c r="O295" s="254">
        <f t="array" ref="O295">+INDEX('Réel 2024'!$A$2:$AO$501,MATCH($A295,'Réel 2024'!$A$2:$A$501,0),MATCH(O$2,'Réel 2024'!$A$2:$AO$2,0))</f>
        <v>60578.83</v>
      </c>
      <c r="P295" s="353">
        <f t="shared" ref="P295:P303" si="55">IF(O295=0,0,Q295/O295)</f>
        <v>0.28341881148909609</v>
      </c>
      <c r="Q295" s="276">
        <f t="array" ref="Q295">+INDEX('Réel 2024'!$A$2:$AO$501,MATCH($A295,'Réel 2024'!$A$2:$A$501,0),MATCH(Q$2,'Réel 2024'!$A$2:$AO$2,0))</f>
        <v>17169.18</v>
      </c>
      <c r="R295" s="292">
        <f t="shared" ref="R295:R304" si="56">IF(O295=0,0,(J295-O295)/O295)</f>
        <v>0.1393807044474118</v>
      </c>
      <c r="S295" s="276">
        <f t="shared" ref="S295:S304" si="57">L295-Q295</f>
        <v>8682.5800000000054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42000.000000000007</v>
      </c>
      <c r="E296" s="353">
        <f t="shared" ref="E296:E303" si="58">IF(D296=0,0,F296/D296)</f>
        <v>0.23400000000000001</v>
      </c>
      <c r="F296" s="276">
        <f>+INDEX('Budget original'!$A$2:$AO$501,MATCH($A296,'Budget original'!$A$2:$A$501,0),MATCH(F$2,'Budget original'!$A$2:$AO$2,0))</f>
        <v>9828.0000000000018</v>
      </c>
      <c r="G296" s="291"/>
      <c r="H296" s="353"/>
      <c r="I296" s="276"/>
      <c r="J296" s="254">
        <f>-SUMIFS(BV_Data_An_Cour!$O:$O,BV_Data_An_Cour!$X:$X,"Oui",BV_Data_An_Cour!$U:$U,$B296,BV_Data_An_Cour!$V:$V,$C296)</f>
        <v>103612.37000000001</v>
      </c>
      <c r="K296" s="353">
        <f t="shared" si="52"/>
        <v>0.23160448892347515</v>
      </c>
      <c r="L296" s="276">
        <f>-SUMIFS(BV_Data_An_Cour!$O:$O,BV_Data_An_Cour!$U:$U,$B296,BV_Data_An_Cour!$V:$V,$C296,BV_Data_An_Cour!$W:$W,$L$2)</f>
        <v>23997.090000000011</v>
      </c>
      <c r="M296" s="292">
        <f t="shared" si="53"/>
        <v>1.4669611904761903</v>
      </c>
      <c r="N296" s="276">
        <f t="shared" si="54"/>
        <v>14169.090000000009</v>
      </c>
      <c r="O296" s="254">
        <f t="array" ref="O296">+INDEX('Réel 2024'!$A$2:$AO$501,MATCH($A296,'Réel 2024'!$A$2:$A$501,0),MATCH(O$2,'Réel 2024'!$A$2:$AO$2,0))</f>
        <v>10964.62</v>
      </c>
      <c r="P296" s="353">
        <f t="shared" si="55"/>
        <v>0.23183931590880485</v>
      </c>
      <c r="Q296" s="276">
        <f t="array" ref="Q296">+INDEX('Réel 2024'!$A$2:$AO$501,MATCH($A296,'Réel 2024'!$A$2:$A$501,0),MATCH(Q$2,'Réel 2024'!$A$2:$AO$2,0))</f>
        <v>2542.0300000000002</v>
      </c>
      <c r="R296" s="292">
        <f t="shared" si="56"/>
        <v>8.4497000352041383</v>
      </c>
      <c r="S296" s="276">
        <f t="shared" si="57"/>
        <v>21455.060000000012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59281.819703000736</v>
      </c>
      <c r="E297" s="353">
        <f t="shared" si="58"/>
        <v>0.23300000000000001</v>
      </c>
      <c r="F297" s="276">
        <f>+INDEX('Budget original'!$A$2:$AO$501,MATCH($A297,'Budget original'!$A$2:$A$501,0),MATCH(F$2,'Budget original'!$A$2:$AO$2,0))</f>
        <v>13812.663990799172</v>
      </c>
      <c r="G297" s="291"/>
      <c r="H297" s="353"/>
      <c r="I297" s="276"/>
      <c r="J297" s="254">
        <f>-SUMIFS(BV_Data_An_Cour!$O:$O,BV_Data_An_Cour!$X:$X,"Oui",BV_Data_An_Cour!$U:$U,$B297,BV_Data_An_Cour!$V:$V,$C297)</f>
        <v>104200.76</v>
      </c>
      <c r="K297" s="353">
        <f t="shared" si="52"/>
        <v>0.23302824278824841</v>
      </c>
      <c r="L297" s="276">
        <f>-SUMIFS(BV_Data_An_Cour!$O:$O,BV_Data_An_Cour!$U:$U,$B297,BV_Data_An_Cour!$V:$V,$C297,BV_Data_An_Cour!$W:$W,$L$2)</f>
        <v>24281.72</v>
      </c>
      <c r="M297" s="292">
        <f t="shared" si="53"/>
        <v>0.75771864834853486</v>
      </c>
      <c r="N297" s="276">
        <f t="shared" si="54"/>
        <v>10469.056009200829</v>
      </c>
      <c r="O297" s="254">
        <f t="array" ref="O297">+INDEX('Réel 2024'!$A$2:$AO$501,MATCH($A297,'Réel 2024'!$A$2:$A$501,0),MATCH(O$2,'Réel 2024'!$A$2:$AO$2,0))</f>
        <v>81364.36</v>
      </c>
      <c r="P297" s="353">
        <f t="shared" si="55"/>
        <v>0.23102350955627257</v>
      </c>
      <c r="Q297" s="276">
        <f t="array" ref="Q297">+INDEX('Réel 2024'!$A$2:$AO$501,MATCH($A297,'Réel 2024'!$A$2:$A$501,0),MATCH(Q$2,'Réel 2024'!$A$2:$AO$2,0))</f>
        <v>18797.080000000002</v>
      </c>
      <c r="R297" s="292">
        <f t="shared" si="56"/>
        <v>0.28066834176536254</v>
      </c>
      <c r="S297" s="276">
        <f t="shared" si="57"/>
        <v>5484.6399999999994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70653.654628670047</v>
      </c>
      <c r="E298" s="353">
        <f t="shared" si="58"/>
        <v>0.28499999999999998</v>
      </c>
      <c r="F298" s="276">
        <f>+INDEX('Budget original'!$A$2:$AO$501,MATCH($A298,'Budget original'!$A$2:$A$501,0),MATCH(F$2,'Budget original'!$A$2:$AO$2,0))</f>
        <v>20136.29156917096</v>
      </c>
      <c r="G298" s="291"/>
      <c r="H298" s="353"/>
      <c r="I298" s="276"/>
      <c r="J298" s="254">
        <f>-SUMIFS(BV_Data_An_Cour!$O:$O,BV_Data_An_Cour!$X:$X,"Oui",BV_Data_An_Cour!$U:$U,$B298,BV_Data_An_Cour!$V:$V,$C298)</f>
        <v>58808.68</v>
      </c>
      <c r="K298" s="353">
        <f t="shared" si="52"/>
        <v>0.28604893019193772</v>
      </c>
      <c r="L298" s="276">
        <f>-SUMIFS(BV_Data_An_Cour!$O:$O,BV_Data_An_Cour!$U:$U,$B298,BV_Data_An_Cour!$V:$V,$C298,BV_Data_An_Cour!$W:$W,$L$2)</f>
        <v>16822.160000000003</v>
      </c>
      <c r="M298" s="292">
        <f t="shared" si="53"/>
        <v>-0.16764843504448471</v>
      </c>
      <c r="N298" s="276">
        <f t="shared" si="54"/>
        <v>-3314.1315691709569</v>
      </c>
      <c r="O298" s="254">
        <f t="array" ref="O298">+INDEX('Réel 2024'!$A$2:$AO$501,MATCH($A298,'Réel 2024'!$A$2:$A$501,0),MATCH(O$2,'Réel 2024'!$A$2:$AO$2,0))</f>
        <v>63496.06</v>
      </c>
      <c r="P298" s="353">
        <f t="shared" si="55"/>
        <v>0.25951720468955081</v>
      </c>
      <c r="Q298" s="276">
        <f t="array" ref="Q298">+INDEX('Réel 2024'!$A$2:$AO$501,MATCH($A298,'Réel 2024'!$A$2:$A$501,0),MATCH(Q$2,'Réel 2024'!$A$2:$AO$2,0))</f>
        <v>16478.32</v>
      </c>
      <c r="R298" s="292">
        <f t="shared" si="56"/>
        <v>-7.3821588300124405E-2</v>
      </c>
      <c r="S298" s="276">
        <f t="shared" si="57"/>
        <v>343.84000000000378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20512.474226859587</v>
      </c>
      <c r="E299" s="353">
        <f t="shared" si="58"/>
        <v>0.28499999999999998</v>
      </c>
      <c r="F299" s="276">
        <f>+INDEX('Budget original'!$A$2:$AO$501,MATCH($A299,'Budget original'!$A$2:$A$501,0),MATCH(F$2,'Budget original'!$A$2:$AO$2,0))</f>
        <v>5846.0551546549823</v>
      </c>
      <c r="G299" s="291"/>
      <c r="H299" s="353"/>
      <c r="I299" s="276"/>
      <c r="J299" s="254">
        <f>-SUMIFS(BV_Data_An_Cour!$O:$O,BV_Data_An_Cour!$X:$X,"Oui",BV_Data_An_Cour!$U:$U,$B299,BV_Data_An_Cour!$V:$V,$C299)</f>
        <v>8951.66</v>
      </c>
      <c r="K299" s="353">
        <f t="shared" si="52"/>
        <v>0.30446308282486151</v>
      </c>
      <c r="L299" s="276">
        <f>-SUMIFS(BV_Data_An_Cour!$O:$O,BV_Data_An_Cour!$U:$U,$B299,BV_Data_An_Cour!$V:$V,$C299,BV_Data_An_Cour!$W:$W,$L$2)</f>
        <v>2725.45</v>
      </c>
      <c r="M299" s="292">
        <f t="shared" si="53"/>
        <v>-0.56359920792595297</v>
      </c>
      <c r="N299" s="276">
        <f t="shared" si="54"/>
        <v>-3120.6051546549825</v>
      </c>
      <c r="O299" s="254">
        <f t="array" ref="O299">+INDEX('Réel 2024'!$A$2:$AO$501,MATCH($A299,'Réel 2024'!$A$2:$A$501,0),MATCH(O$2,'Réel 2024'!$A$2:$AO$2,0))</f>
        <v>19021.86</v>
      </c>
      <c r="P299" s="353">
        <f t="shared" si="55"/>
        <v>0.28937180696314663</v>
      </c>
      <c r="Q299" s="276">
        <f t="array" ref="Q299">+INDEX('Réel 2024'!$A$2:$AO$501,MATCH($A299,'Réel 2024'!$A$2:$A$501,0),MATCH(Q$2,'Réel 2024'!$A$2:$AO$2,0))</f>
        <v>5504.39</v>
      </c>
      <c r="R299" s="292">
        <f t="shared" si="56"/>
        <v>-0.52940143603201795</v>
      </c>
      <c r="S299" s="276">
        <f t="shared" si="57"/>
        <v>-2778.9400000000005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169290.82542283507</v>
      </c>
      <c r="E300" s="353">
        <f t="shared" si="58"/>
        <v>0.13500000000000001</v>
      </c>
      <c r="F300" s="276">
        <f>+INDEX('Budget original'!$A$2:$AO$501,MATCH($A300,'Budget original'!$A$2:$A$501,0),MATCH(F$2,'Budget original'!$A$2:$AO$2,0))</f>
        <v>22854.261432082734</v>
      </c>
      <c r="G300" s="291"/>
      <c r="H300" s="353"/>
      <c r="I300" s="276"/>
      <c r="J300" s="254">
        <f>-SUMIFS(BV_Data_An_Cour!$O:$O,BV_Data_An_Cour!$X:$X,"Oui",BV_Data_An_Cour!$U:$U,$B300,BV_Data_An_Cour!$V:$V,$C300)</f>
        <v>204248.82</v>
      </c>
      <c r="K300" s="353">
        <f t="shared" si="52"/>
        <v>0.14800555518509237</v>
      </c>
      <c r="L300" s="276">
        <f>-SUMIFS(BV_Data_An_Cour!$O:$O,BV_Data_An_Cour!$U:$U,$B300,BV_Data_An_Cour!$V:$V,$C300,BV_Data_An_Cour!$W:$W,$L$2)</f>
        <v>30229.96</v>
      </c>
      <c r="M300" s="292">
        <f t="shared" si="53"/>
        <v>0.20649668692825435</v>
      </c>
      <c r="N300" s="276">
        <f t="shared" si="54"/>
        <v>7375.6985679172649</v>
      </c>
      <c r="O300" s="254">
        <f t="array" ref="O300">+INDEX('Réel 2024'!$A$2:$AO$501,MATCH($A300,'Réel 2024'!$A$2:$A$501,0),MATCH(O$2,'Réel 2024'!$A$2:$AO$2,0))</f>
        <v>198781.86</v>
      </c>
      <c r="P300" s="353">
        <f t="shared" si="55"/>
        <v>0.12800126731885847</v>
      </c>
      <c r="Q300" s="276">
        <f t="array" ref="Q300">+INDEX('Réel 2024'!$A$2:$AO$501,MATCH($A300,'Réel 2024'!$A$2:$A$501,0),MATCH(Q$2,'Réel 2024'!$A$2:$AO$2,0))</f>
        <v>25444.3299999999</v>
      </c>
      <c r="R300" s="292">
        <f t="shared" si="56"/>
        <v>2.7502308309219067E-2</v>
      </c>
      <c r="S300" s="276">
        <f t="shared" si="57"/>
        <v>4785.6300000000992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6000.2121533396248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6351.880000000001</v>
      </c>
      <c r="M302" s="292"/>
      <c r="N302" s="276">
        <f t="shared" si="54"/>
        <v>351.6678466603762</v>
      </c>
      <c r="O302" s="254">
        <f t="array" ref="O302">+INDEX('Réel 2024'!$A$2:$AO$501,MATCH($A302,'Réel 2024'!$A$2:$A$501,0),MATCH(O$2,'Réel 2024'!$A$2:$AO$2,0))</f>
        <v>0</v>
      </c>
      <c r="P302" s="353">
        <f t="shared" si="55"/>
        <v>0</v>
      </c>
      <c r="Q302" s="276">
        <f t="array" ref="Q302">+INDEX('Réel 2024'!$A$2:$AO$501,MATCH($A302,'Réel 2024'!$A$2:$A$501,0),MATCH(Q$2,'Réel 2024'!$A$2:$AO$2,0))</f>
        <v>5644.3099999999904</v>
      </c>
      <c r="R302" s="292">
        <f t="shared" si="56"/>
        <v>0</v>
      </c>
      <c r="S302" s="276">
        <f t="shared" si="57"/>
        <v>707.57000000001062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428586.58238140179</v>
      </c>
      <c r="E304" s="407">
        <f>IF(D304&lt;=0,0,F304/D304)</f>
        <v>0.23769810215244144</v>
      </c>
      <c r="F304" s="392">
        <f>SUM(F295:F303)</f>
        <v>101874.2172400602</v>
      </c>
      <c r="G304" s="390"/>
      <c r="H304" s="407"/>
      <c r="I304" s="392"/>
      <c r="J304" s="390">
        <f t="shared" ref="J304" si="59">SUM(J295:J303)</f>
        <v>548844.64</v>
      </c>
      <c r="K304" s="407">
        <f t="shared" si="52"/>
        <v>0.23733495875991431</v>
      </c>
      <c r="L304" s="392">
        <f>SUM(L295:L303)</f>
        <v>130260.02000000002</v>
      </c>
      <c r="M304" s="408">
        <f>(+J304-D304)/D304</f>
        <v>0.28059221301421855</v>
      </c>
      <c r="N304" s="392">
        <f t="shared" si="54"/>
        <v>28385.802759939819</v>
      </c>
      <c r="O304" s="390">
        <f>SUM(O295:O303)</f>
        <v>434207.58999999997</v>
      </c>
      <c r="P304" s="407">
        <f>IF(O304&lt;=0,0,Q304/O304)</f>
        <v>0.21091211233778734</v>
      </c>
      <c r="Q304" s="392">
        <f t="shared" ref="Q304" si="60">SUM(Q295:Q303)</f>
        <v>91579.639999999898</v>
      </c>
      <c r="R304" s="408">
        <f t="shared" si="56"/>
        <v>0.26401438537728017</v>
      </c>
      <c r="S304" s="392">
        <f t="shared" si="57"/>
        <v>38680.380000000121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0.27863578763064706</v>
      </c>
      <c r="O305" s="253"/>
      <c r="P305" s="41"/>
      <c r="Q305" s="263"/>
      <c r="R305" s="253"/>
      <c r="S305" s="265">
        <f>IF(Q304=0,0,S304/Q304)</f>
        <v>0.42236877104998627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50864.656595468507</v>
      </c>
      <c r="E307" s="353">
        <f>IF(D307=0,0,F307/D307)</f>
        <v>0.17100000000000004</v>
      </c>
      <c r="F307" s="317">
        <f>+INDEX('Budget original'!$A$2:$AO$501,MATCH($A307,'Budget original'!$A$2:$A$501,0),MATCH(F$2,'Budget original'!$A$2:$AO$2,0))</f>
        <v>8697.8562778251162</v>
      </c>
      <c r="G307" s="291"/>
      <c r="H307" s="353"/>
      <c r="I307" s="317"/>
      <c r="J307" s="254">
        <f>-SUMIFS(BV_Data_An_Cour!$O:$O,BV_Data_An_Cour!$X:$X,"Oui",BV_Data_An_Cour!$U:$U,$B307,BV_Data_An_Cour!$V:$V,$C307)</f>
        <v>58367.79</v>
      </c>
      <c r="K307" s="353">
        <f t="shared" ref="K307:K309" si="61">IF(J307&lt;=0,0,L307/J307)</f>
        <v>0.1913301839936033</v>
      </c>
      <c r="L307" s="317">
        <f>-SUMIFS(BV_Data_An_Cour!$O:$O,BV_Data_An_Cour!$U:$U,$B307,BV_Data_An_Cour!$V:$V,$C307,BV_Data_An_Cour!$W:$W,$L$2)</f>
        <v>11167.519999999999</v>
      </c>
      <c r="M307" s="292">
        <f>(+J307-D307)/D307</f>
        <v>0.14751172831470452</v>
      </c>
      <c r="N307" s="276">
        <f>L307-F307</f>
        <v>2469.6637221748824</v>
      </c>
      <c r="O307" s="254">
        <f t="array" ref="O307">+INDEX('Réel 2024'!$A$2:$AO$501,MATCH($A307,'Réel 2024'!$A$2:$A$501,0),MATCH(O$2,'Réel 2024'!$A$2:$AO$2,0))</f>
        <v>49338.75</v>
      </c>
      <c r="P307" s="353">
        <f t="shared" ref="P307:P308" si="62">IF(O307=0,0,Q307/O307)</f>
        <v>0.17106047477895145</v>
      </c>
      <c r="Q307" s="317">
        <f t="array" ref="Q307">+INDEX('Réel 2024'!$A$2:$AO$501,MATCH($A307,'Réel 2024'!$A$2:$A$501,0),MATCH(Q$2,'Réel 2024'!$A$2:$AO$2,0))</f>
        <v>8439.9099999999908</v>
      </c>
      <c r="R307" s="292">
        <f t="shared" ref="R307:R309" si="63">IF(O307=0,0,(J307-O307)/O307)</f>
        <v>0.18300098806718859</v>
      </c>
      <c r="S307" s="276">
        <f t="shared" ref="S307:S309" si="64">L307-Q307</f>
        <v>2727.6100000000079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15134.328915612145</v>
      </c>
      <c r="E308" s="353">
        <f>IF(D308=0,0,F308/D308)</f>
        <v>0.27</v>
      </c>
      <c r="F308" s="296">
        <f>+INDEX('Budget original'!$A$2:$AO$501,MATCH($A308,'Budget original'!$A$2:$A$501,0),MATCH(F$2,'Budget original'!$A$2:$AO$2,0))</f>
        <v>4086.2688072152791</v>
      </c>
      <c r="G308" s="291"/>
      <c r="H308" s="353"/>
      <c r="I308" s="296"/>
      <c r="J308" s="254">
        <f>-SUMIFS(BV_Data_An_Cour!$O:$O,BV_Data_An_Cour!$X:$X,"Oui",BV_Data_An_Cour!$U:$U,$B308,BV_Data_An_Cour!$V:$V,$C308)</f>
        <v>16396.48</v>
      </c>
      <c r="K308" s="353">
        <f t="shared" si="61"/>
        <v>0.28624680419211923</v>
      </c>
      <c r="L308" s="296">
        <f>-SUMIFS(BV_Data_An_Cour!$O:$O,BV_Data_An_Cour!$U:$U,$B308,BV_Data_An_Cour!$V:$V,$C308,BV_Data_An_Cour!$W:$W,$L$2)</f>
        <v>4693.4399999999987</v>
      </c>
      <c r="M308" s="292">
        <f>(+J308-D308)/D308</f>
        <v>8.3396567593152796E-2</v>
      </c>
      <c r="N308" s="276">
        <f>L308-F308</f>
        <v>607.17119278471955</v>
      </c>
      <c r="O308" s="254">
        <f t="array" ref="O308">+INDEX('Réel 2024'!$A$2:$AO$501,MATCH($A308,'Réel 2024'!$A$2:$A$501,0),MATCH(O$2,'Réel 2024'!$A$2:$AO$2,0))</f>
        <v>16154.19</v>
      </c>
      <c r="P308" s="353">
        <f t="shared" si="62"/>
        <v>0.25065199802651816</v>
      </c>
      <c r="Q308" s="296">
        <f t="array" ref="Q308">+INDEX('Réel 2024'!$A$2:$AO$501,MATCH($A308,'Réel 2024'!$A$2:$A$501,0),MATCH(Q$2,'Réel 2024'!$A$2:$AO$2,0))</f>
        <v>4049.08</v>
      </c>
      <c r="R308" s="292">
        <f t="shared" si="63"/>
        <v>1.4998585506298926E-2</v>
      </c>
      <c r="S308" s="276">
        <f t="shared" si="64"/>
        <v>644.35999999999876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494585.56789248245</v>
      </c>
      <c r="E309" s="407">
        <f>IF(D309&lt;=0,0,F309/D309)</f>
        <v>0.23182710893421396</v>
      </c>
      <c r="F309" s="392">
        <f>F304+F307+F308</f>
        <v>114658.3423251006</v>
      </c>
      <c r="G309" s="393"/>
      <c r="H309" s="407"/>
      <c r="I309" s="392"/>
      <c r="J309" s="393">
        <f t="shared" ref="J309" si="65">J304+J307+J308</f>
        <v>623608.91</v>
      </c>
      <c r="K309" s="407">
        <f t="shared" si="61"/>
        <v>0.23431509341327403</v>
      </c>
      <c r="L309" s="392">
        <f>L304+L307+L308</f>
        <v>146120.98000000001</v>
      </c>
      <c r="M309" s="408">
        <f>(+J309-D309)/D309</f>
        <v>0.26087162764839483</v>
      </c>
      <c r="N309" s="392">
        <f>L309-F309</f>
        <v>31462.637674899408</v>
      </c>
      <c r="O309" s="393">
        <f>O304+O307+O308</f>
        <v>499700.52999999997</v>
      </c>
      <c r="P309" s="407">
        <f>IF(O309&lt;=0,0,Q309/O309)</f>
        <v>0.20826199644014765</v>
      </c>
      <c r="Q309" s="392">
        <f t="shared" ref="Q309" si="66">Q304+Q307+Q308</f>
        <v>104068.62999999989</v>
      </c>
      <c r="R309" s="408">
        <f t="shared" si="63"/>
        <v>0.24796527632260079</v>
      </c>
      <c r="S309" s="392">
        <f t="shared" si="64"/>
        <v>42052.350000000122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0.27440338868401482</v>
      </c>
      <c r="O310" s="253"/>
      <c r="P310" s="41"/>
      <c r="Q310" s="263"/>
      <c r="R310" s="253"/>
      <c r="S310" s="265">
        <f>IF(Q309=0,0,S309/Q309)</f>
        <v>0.40408286339505156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494585.56789248245</v>
      </c>
      <c r="E314" s="410">
        <f>IF(D314&lt;=0,0,F314/D314)</f>
        <v>0.23182710893421396</v>
      </c>
      <c r="F314" s="281">
        <f>F309+F312</f>
        <v>114658.3423251006</v>
      </c>
      <c r="G314" s="282"/>
      <c r="H314" s="410"/>
      <c r="I314" s="281"/>
      <c r="J314" s="282">
        <f t="shared" ref="J314" si="67">J309+J312</f>
        <v>623608.91</v>
      </c>
      <c r="K314" s="410">
        <f>IF(J314&lt;=0,0,L314/J314)</f>
        <v>0.23431509341327403</v>
      </c>
      <c r="L314" s="281">
        <f>L309+L312</f>
        <v>146120.98000000001</v>
      </c>
      <c r="M314" s="411">
        <f>(+J314-D314)/D314</f>
        <v>0.26087162764839483</v>
      </c>
      <c r="N314" s="412">
        <f>L314-F314</f>
        <v>31462.637674899408</v>
      </c>
      <c r="O314" s="282">
        <f>O309+O312</f>
        <v>499700.52999999997</v>
      </c>
      <c r="P314" s="410">
        <f>IF(O314&lt;=0,0,Q314/O314)</f>
        <v>0.20826199644014765</v>
      </c>
      <c r="Q314" s="281">
        <f t="shared" ref="Q314" si="68">Q309+Q312</f>
        <v>104068.62999999989</v>
      </c>
      <c r="R314" s="411">
        <f>IF(O314=0,0,(J314-O314)/O314)</f>
        <v>0.24796527632260079</v>
      </c>
      <c r="S314" s="412">
        <f>L314-Q314</f>
        <v>42052.350000000122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1.2744033886840149</v>
      </c>
      <c r="M315" s="416"/>
      <c r="N315" s="287">
        <f>N314/F314</f>
        <v>0.27440338868401482</v>
      </c>
      <c r="O315" s="415"/>
      <c r="P315" s="414"/>
      <c r="Q315" s="335"/>
      <c r="R315" s="416"/>
      <c r="S315" s="287">
        <f>IF(Q314=0,0,S314/Q314)</f>
        <v>0.40408286339505156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4769.2307692307695</v>
      </c>
      <c r="G318" s="253"/>
      <c r="H318" s="41"/>
      <c r="I318" s="254"/>
      <c r="J318" s="253"/>
      <c r="K318" s="41"/>
      <c r="L318" s="256">
        <f>SUMIFS(BV_Data_An_Cour!$O:$O,BV_Data_An_Cour!$U:$U,$B318,BV_Data_An_Cour!$V:$V,$C318,BV_Data_An_Cour!$W:$W,$L$2)</f>
        <v>6247.57</v>
      </c>
      <c r="M318" s="253"/>
      <c r="N318" s="256">
        <f t="shared" ref="N318:N348" si="69">L318-F318</f>
        <v>1478.3392307692302</v>
      </c>
      <c r="O318" s="253"/>
      <c r="P318" s="41"/>
      <c r="Q318" s="256">
        <f t="array" ref="Q318">+INDEX('Réel 2024'!$A$2:$AO$501,MATCH($A318,'Réel 2024'!$A$2:$A$501,0),MATCH(Q$2,'Réel 2024'!$A$2:$AO$2,0))</f>
        <v>8533.68</v>
      </c>
      <c r="R318" s="253"/>
      <c r="S318" s="256">
        <f t="shared" ref="S318:S348" si="70">L318-Q318</f>
        <v>-2286.1100000000006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29619.471267204099</v>
      </c>
      <c r="G319" s="298"/>
      <c r="H319" s="41"/>
      <c r="I319" s="248"/>
      <c r="J319" s="253"/>
      <c r="K319" s="41"/>
      <c r="L319" s="256">
        <f>SUMIFS(BV_Data_An_Cour!$O:$O,BV_Data_An_Cour!$U:$U,$B319,BV_Data_An_Cour!$V:$V,$C319,BV_Data_An_Cour!$W:$W,$L$2)</f>
        <v>23120.62</v>
      </c>
      <c r="M319" s="253"/>
      <c r="N319" s="256">
        <f t="shared" si="69"/>
        <v>-6498.8512672040997</v>
      </c>
      <c r="O319" s="253"/>
      <c r="P319" s="41"/>
      <c r="Q319" s="256">
        <f t="array" ref="Q319">+INDEX('Réel 2024'!$A$2:$AO$501,MATCH($A319,'Réel 2024'!$A$2:$A$501,0),MATCH(Q$2,'Réel 2024'!$A$2:$AO$2,0))</f>
        <v>25401.96</v>
      </c>
      <c r="R319" s="253"/>
      <c r="S319" s="276">
        <f t="shared" si="70"/>
        <v>-2281.34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0</v>
      </c>
      <c r="G320" s="316"/>
      <c r="H320" s="315"/>
      <c r="I320" s="254"/>
      <c r="J320" s="241"/>
      <c r="K320" s="315"/>
      <c r="L320" s="272">
        <f>SUMIFS(BV_Data_An_Cour!$O:$O,BV_Data_An_Cour!$U:$U,$B320,BV_Data_An_Cour!$V:$V,$C320,BV_Data_An_Cour!$W:$W,$L$2)</f>
        <v>6274.69</v>
      </c>
      <c r="M320" s="241"/>
      <c r="N320" s="272">
        <f t="shared" si="69"/>
        <v>6274.69</v>
      </c>
      <c r="O320" s="241"/>
      <c r="P320" s="315"/>
      <c r="Q320" s="272">
        <f t="array" ref="Q320">+INDEX('Réel 2024'!$A$2:$AO$501,MATCH($A320,'Réel 2024'!$A$2:$A$501,0),MATCH(Q$2,'Réel 2024'!$A$2:$AO$2,0))</f>
        <v>113.92</v>
      </c>
      <c r="R320" s="241"/>
      <c r="S320" s="317">
        <f t="shared" si="70"/>
        <v>6160.7699999999995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4199.426525981512</v>
      </c>
      <c r="G325" s="298"/>
      <c r="H325" s="41"/>
      <c r="I325" s="248"/>
      <c r="J325" s="253"/>
      <c r="K325" s="41"/>
      <c r="L325" s="256">
        <f>SUMIFS(BV_Data_An_Cour!$O:$O,BV_Data_An_Cour!$U:$U,$B325,BV_Data_An_Cour!$V:$V,$C325,BV_Data_An_Cour!$W:$W,$L$2)</f>
        <v>3718.45</v>
      </c>
      <c r="M325" s="253"/>
      <c r="N325" s="256">
        <f t="shared" si="69"/>
        <v>-480.97652598151217</v>
      </c>
      <c r="O325" s="253"/>
      <c r="P325" s="41"/>
      <c r="Q325" s="256">
        <f t="array" ref="Q325">+INDEX('Réel 2024'!$A$2:$AO$501,MATCH($A325,'Réel 2024'!$A$2:$A$501,0),MATCH(Q$2,'Réel 2024'!$A$2:$AO$2,0))</f>
        <v>3031.99</v>
      </c>
      <c r="R325" s="253"/>
      <c r="S325" s="276">
        <f t="shared" si="70"/>
        <v>686.46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5105.910665951089</v>
      </c>
      <c r="G326" s="316"/>
      <c r="H326" s="315"/>
      <c r="I326" s="254"/>
      <c r="J326" s="241"/>
      <c r="K326" s="315"/>
      <c r="L326" s="272">
        <f>SUMIFS(BV_Data_An_Cour!$O:$O,BV_Data_An_Cour!$U:$U,$B326,BV_Data_An_Cour!$V:$V,$C326,BV_Data_An_Cour!$W:$W,$L$2)</f>
        <v>4249.29</v>
      </c>
      <c r="M326" s="241"/>
      <c r="N326" s="272">
        <f t="shared" si="69"/>
        <v>-856.62066595108899</v>
      </c>
      <c r="O326" s="241"/>
      <c r="P326" s="315"/>
      <c r="Q326" s="272">
        <f t="array" ref="Q326">+INDEX('Réel 2024'!$A$2:$AO$501,MATCH($A326,'Réel 2024'!$A$2:$A$501,0),MATCH(Q$2,'Réel 2024'!$A$2:$AO$2,0))</f>
        <v>8266.7199999999993</v>
      </c>
      <c r="R326" s="241"/>
      <c r="S326" s="317">
        <f t="shared" si="70"/>
        <v>-4017.4299999999994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2630.6539735443653</v>
      </c>
      <c r="G327" s="298"/>
      <c r="H327" s="41"/>
      <c r="I327" s="254"/>
      <c r="J327" s="253"/>
      <c r="K327" s="41"/>
      <c r="L327" s="256">
        <f>SUMIFS(BV_Data_An_Cour!$O:$O,BV_Data_An_Cour!$U:$U,$B327,BV_Data_An_Cour!$V:$V,$C327,BV_Data_An_Cour!$W:$W,$L$2)</f>
        <v>1925.58</v>
      </c>
      <c r="M327" s="253"/>
      <c r="N327" s="256">
        <f t="shared" si="69"/>
        <v>-705.07397354436534</v>
      </c>
      <c r="O327" s="253"/>
      <c r="P327" s="41"/>
      <c r="Q327" s="256">
        <f t="array" ref="Q327">+INDEX('Réel 2024'!$A$2:$AO$501,MATCH($A327,'Réel 2024'!$A$2:$A$501,0),MATCH(Q$2,'Réel 2024'!$A$2:$AO$2,0))</f>
        <v>1589.14</v>
      </c>
      <c r="R327" s="253"/>
      <c r="S327" s="276">
        <f t="shared" si="70"/>
        <v>336.43999999999983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1146.9799322064041</v>
      </c>
      <c r="G328" s="298"/>
      <c r="H328" s="41"/>
      <c r="I328" s="254"/>
      <c r="J328" s="253"/>
      <c r="K328" s="41"/>
      <c r="L328" s="256">
        <f>SUMIFS(BV_Data_An_Cour!$O:$O,BV_Data_An_Cour!$U:$U,$B328,BV_Data_An_Cour!$V:$V,$C328,BV_Data_An_Cour!$W:$W,$L$2)</f>
        <v>1189.3399999999999</v>
      </c>
      <c r="M328" s="253"/>
      <c r="N328" s="256">
        <f t="shared" si="69"/>
        <v>42.360067793595817</v>
      </c>
      <c r="O328" s="253"/>
      <c r="P328" s="41"/>
      <c r="Q328" s="256">
        <f t="array" ref="Q328">+INDEX('Réel 2024'!$A$2:$AO$501,MATCH($A328,'Réel 2024'!$A$2:$A$501,0),MATCH(Q$2,'Réel 2024'!$A$2:$AO$2,0))</f>
        <v>1613.73</v>
      </c>
      <c r="R328" s="253"/>
      <c r="S328" s="276">
        <f t="shared" si="70"/>
        <v>-424.3900000000001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0.41402720614534749</v>
      </c>
      <c r="F330" s="307">
        <f>+SUM(F318:F329)</f>
        <v>47471.673134118246</v>
      </c>
      <c r="G330" s="308"/>
      <c r="H330" s="306"/>
      <c r="I330" s="307"/>
      <c r="J330" s="308" t="s">
        <v>119</v>
      </c>
      <c r="K330" s="306">
        <f>L330/L$314</f>
        <v>0.31977297168414826</v>
      </c>
      <c r="L330" s="307">
        <f>+SUM(L318:L329)</f>
        <v>46725.539999999994</v>
      </c>
      <c r="M330" s="355"/>
      <c r="N330" s="320">
        <f t="shared" si="69"/>
        <v>-746.1331341182522</v>
      </c>
      <c r="O330" s="308" t="s">
        <v>119</v>
      </c>
      <c r="P330" s="306">
        <f>Q330/Q$314</f>
        <v>0.46653001966106455</v>
      </c>
      <c r="Q330" s="307">
        <f>+SUM(Q318:Q329)</f>
        <v>48551.14</v>
      </c>
      <c r="R330" s="355"/>
      <c r="S330" s="320">
        <f t="shared" si="70"/>
        <v>-1825.6000000000058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2956.25</v>
      </c>
      <c r="G331" s="298"/>
      <c r="H331" s="41"/>
      <c r="I331" s="254"/>
      <c r="J331" s="253"/>
      <c r="K331" s="41"/>
      <c r="L331" s="256">
        <f>SUMIFS(BV_Data_An_Cour!$O:$O,BV_Data_An_Cour!$U:$U,$B331,BV_Data_An_Cour!$V:$V,$C331,BV_Data_An_Cour!$W:$W,$L$2)</f>
        <v>2430.83</v>
      </c>
      <c r="M331" s="253"/>
      <c r="N331" s="276">
        <f t="shared" si="69"/>
        <v>-525.42000000000007</v>
      </c>
      <c r="O331" s="253"/>
      <c r="P331" s="41"/>
      <c r="Q331" s="256">
        <f t="array" ref="Q331">+INDEX('Réel 2024'!$A$2:$AO$501,MATCH($A331,'Réel 2024'!$A$2:$A$501,0),MATCH(Q$2,'Réel 2024'!$A$2:$AO$2,0))</f>
        <v>2753.47</v>
      </c>
      <c r="R331" s="253"/>
      <c r="S331" s="276">
        <f t="shared" si="70"/>
        <v>-322.63999999999987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-200.79</v>
      </c>
      <c r="M332" s="253"/>
      <c r="N332" s="276">
        <f t="shared" si="69"/>
        <v>-762.31577820142729</v>
      </c>
      <c r="O332" s="253"/>
      <c r="P332" s="41"/>
      <c r="Q332" s="256">
        <f t="array" ref="Q332">+INDEX('Réel 2024'!$A$2:$AO$501,MATCH($A332,'Réel 2024'!$A$2:$A$501,0),MATCH(Q$2,'Réel 2024'!$A$2:$AO$2,0))</f>
        <v>6048.78</v>
      </c>
      <c r="R332" s="253"/>
      <c r="S332" s="276">
        <f t="shared" si="70"/>
        <v>-6249.57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994.4</v>
      </c>
      <c r="M333" s="246"/>
      <c r="N333" s="296">
        <f t="shared" si="69"/>
        <v>-269.92048888888928</v>
      </c>
      <c r="O333" s="246"/>
      <c r="P333" s="318"/>
      <c r="Q333" s="256">
        <f t="array" ref="Q333">+INDEX('Réel 2024'!$A$2:$AO$501,MATCH($A333,'Réel 2024'!$A$2:$A$501,0),MATCH(Q$2,'Réel 2024'!$A$2:$AO$2,0))</f>
        <v>1170.8399999999999</v>
      </c>
      <c r="R333" s="246"/>
      <c r="S333" s="296">
        <f t="shared" si="70"/>
        <v>-176.43999999999994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6290</v>
      </c>
      <c r="G334" s="298"/>
      <c r="H334" s="41"/>
      <c r="I334" s="254"/>
      <c r="J334" s="253"/>
      <c r="K334" s="41"/>
      <c r="L334" s="272">
        <f>SUMIFS(BV_Data_An_Cour!$O:$O,BV_Data_An_Cour!$U:$U,$B334,BV_Data_An_Cour!$V:$V,$C334,BV_Data_An_Cour!$W:$W,$L$2)</f>
        <v>2820.26</v>
      </c>
      <c r="M334" s="253"/>
      <c r="N334" s="276">
        <f t="shared" si="69"/>
        <v>-3469.74</v>
      </c>
      <c r="O334" s="253"/>
      <c r="P334" s="41"/>
      <c r="Q334" s="272">
        <f t="array" ref="Q334">+INDEX('Réel 2024'!$A$2:$AO$501,MATCH($A334,'Réel 2024'!$A$2:$A$501,0),MATCH(Q$2,'Réel 2024'!$A$2:$AO$2,0))</f>
        <v>9396.99</v>
      </c>
      <c r="R334" s="253"/>
      <c r="S334" s="276">
        <f t="shared" si="70"/>
        <v>-6576.73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478.9</v>
      </c>
      <c r="M335" s="253"/>
      <c r="N335" s="276">
        <f t="shared" si="69"/>
        <v>-521.1</v>
      </c>
      <c r="O335" s="253"/>
      <c r="P335" s="41"/>
      <c r="Q335" s="256">
        <f t="array" ref="Q335">+INDEX('Réel 2024'!$A$2:$AO$501,MATCH($A335,'Réel 2024'!$A$2:$A$501,0),MATCH(Q$2,'Réel 2024'!$A$2:$AO$2,0))</f>
        <v>728.54</v>
      </c>
      <c r="R335" s="253"/>
      <c r="S335" s="276">
        <f t="shared" si="70"/>
        <v>-249.64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15552.451815916791</v>
      </c>
      <c r="G336" s="300"/>
      <c r="H336" s="318"/>
      <c r="I336" s="248"/>
      <c r="J336" s="246"/>
      <c r="K336" s="318"/>
      <c r="L336" s="248">
        <f>SUMIFS(BV_Data_An_Cour!$O:$O,BV_Data_An_Cour!$U:$U,$B336,BV_Data_An_Cour!$V:$V,$C336,BV_Data_An_Cour!$W:$W,$L$2)</f>
        <v>5477.87</v>
      </c>
      <c r="M336" s="246"/>
      <c r="N336" s="296">
        <f t="shared" si="69"/>
        <v>-10074.58181591679</v>
      </c>
      <c r="O336" s="246"/>
      <c r="P336" s="318"/>
      <c r="Q336" s="248">
        <f t="array" ref="Q336">+INDEX('Réel 2024'!$A$2:$AO$501,MATCH($A336,'Réel 2024'!$A$2:$A$501,0),MATCH(Q$2,'Réel 2024'!$A$2:$AO$2,0))</f>
        <v>13220.71</v>
      </c>
      <c r="R336" s="246"/>
      <c r="S336" s="296">
        <f t="shared" si="70"/>
        <v>-7742.8399999999992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0</v>
      </c>
      <c r="M338" s="253"/>
      <c r="N338" s="276">
        <f t="shared" si="69"/>
        <v>-50</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361.45</v>
      </c>
      <c r="R339" s="253"/>
      <c r="S339" s="276">
        <f t="shared" si="70"/>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256">
        <f>SUMIFS(BV_Data_An_Cour!$O:$O,BV_Data_An_Cour!$U:$U,$B340,BV_Data_An_Cour!$V:$V,$C340,BV_Data_An_Cour!$W:$W,$L$2)</f>
        <v>743.21</v>
      </c>
      <c r="M340" s="253"/>
      <c r="N340" s="276">
        <f t="shared" si="69"/>
        <v>258.71000000000004</v>
      </c>
      <c r="O340" s="253"/>
      <c r="P340" s="41"/>
      <c r="Q340" s="256">
        <f t="array" ref="Q340">+INDEX('Réel 2024'!$A$2:$AO$501,MATCH($A340,'Réel 2024'!$A$2:$A$501,0),MATCH(Q$2,'Réel 2024'!$A$2:$AO$2,0))</f>
        <v>814</v>
      </c>
      <c r="R340" s="253"/>
      <c r="S340" s="276">
        <f t="shared" si="70"/>
        <v>-70.789999999999964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125.37</v>
      </c>
      <c r="M341" s="253"/>
      <c r="N341" s="276">
        <f t="shared" si="69"/>
        <v>11.620000000000005</v>
      </c>
      <c r="O341" s="253"/>
      <c r="P341" s="41"/>
      <c r="Q341" s="256">
        <f t="array" ref="Q341">+INDEX('Réel 2024'!$A$2:$AO$501,MATCH($A341,'Réel 2024'!$A$2:$A$501,0),MATCH(Q$2,'Réel 2024'!$A$2:$AO$2,0))</f>
        <v>120.99</v>
      </c>
      <c r="R341" s="253"/>
      <c r="S341" s="276">
        <f t="shared" si="70"/>
        <v>4.3800000000000097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52.53</v>
      </c>
      <c r="M342" s="253"/>
      <c r="N342" s="276">
        <f t="shared" si="69"/>
        <v>-125.5325</v>
      </c>
      <c r="O342" s="253"/>
      <c r="P342" s="41"/>
      <c r="Q342" s="256">
        <f t="array" ref="Q342">+INDEX('Réel 2024'!$A$2:$AO$501,MATCH($A342,'Réel 2024'!$A$2:$A$501,0),MATCH(Q$2,'Réel 2024'!$A$2:$AO$2,0))</f>
        <v>144.59</v>
      </c>
      <c r="R342" s="253"/>
      <c r="S342" s="276">
        <f t="shared" si="70"/>
        <v>-92.06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27.36</v>
      </c>
      <c r="M343" s="253"/>
      <c r="N343" s="276">
        <f t="shared" si="69"/>
        <v>-66.39</v>
      </c>
      <c r="O343" s="253"/>
      <c r="P343" s="41"/>
      <c r="Q343" s="256">
        <f t="array" ref="Q343">+INDEX('Réel 2024'!$A$2:$AO$501,MATCH($A343,'Réel 2024'!$A$2:$A$501,0),MATCH(Q$2,'Réel 2024'!$A$2:$AO$2,0))</f>
        <v>55.63</v>
      </c>
      <c r="R343" s="253"/>
      <c r="S343" s="276">
        <f t="shared" si="70"/>
        <v>-28.270000000000003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531.03</v>
      </c>
      <c r="M344" s="253"/>
      <c r="N344" s="276">
        <f t="shared" si="69"/>
        <v>197.69666666666666</v>
      </c>
      <c r="O344" s="253"/>
      <c r="P344" s="41"/>
      <c r="Q344" s="256">
        <f t="array" ref="Q344">+INDEX('Réel 2024'!$A$2:$AO$501,MATCH($A344,'Réel 2024'!$A$2:$A$501,0),MATCH(Q$2,'Réel 2024'!$A$2:$AO$2,0))</f>
        <v>237.81</v>
      </c>
      <c r="R344" s="253"/>
      <c r="S344" s="276">
        <f t="shared" si="70"/>
        <v>293.21999999999997</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1261.8805005194286</v>
      </c>
      <c r="G345" s="298"/>
      <c r="H345" s="41"/>
      <c r="I345" s="254"/>
      <c r="J345" s="253"/>
      <c r="K345" s="41"/>
      <c r="L345" s="256">
        <f>SUMIFS(BV_Data_An_Cour!$O:$O,BV_Data_An_Cour!$U:$U,$B345,BV_Data_An_Cour!$V:$V,$C345,BV_Data_An_Cour!$W:$W,$L$2)</f>
        <v>2699.6</v>
      </c>
      <c r="M345" s="253"/>
      <c r="N345" s="276">
        <f t="shared" si="69"/>
        <v>1437.7194994805714</v>
      </c>
      <c r="O345" s="253"/>
      <c r="P345" s="41"/>
      <c r="Q345" s="256">
        <f t="array" ref="Q345">+INDEX('Réel 2024'!$A$2:$AO$501,MATCH($A345,'Réel 2024'!$A$2:$A$501,0),MATCH(Q$2,'Réel 2024'!$A$2:$AO$2,0))</f>
        <v>962.38</v>
      </c>
      <c r="R345" s="253"/>
      <c r="S345" s="276">
        <f t="shared" si="70"/>
        <v>1737.2199999999998</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0.26286638900989734</v>
      </c>
      <c r="F349" s="307">
        <f>+SUM(F331:F348)</f>
        <v>30139.824416859872</v>
      </c>
      <c r="G349" s="308"/>
      <c r="H349" s="306"/>
      <c r="I349" s="307"/>
      <c r="J349" s="308" t="s">
        <v>119</v>
      </c>
      <c r="K349" s="306">
        <f>L349/L$314</f>
        <v>0.11073406433490934</v>
      </c>
      <c r="L349" s="307">
        <f>+SUM(L331:L348)</f>
        <v>16180.570000000003</v>
      </c>
      <c r="M349" s="311"/>
      <c r="N349" s="307">
        <f>+SUM(N331:N348)</f>
        <v>-13959.254416859865</v>
      </c>
      <c r="O349" s="308" t="s">
        <v>119</v>
      </c>
      <c r="P349" s="306">
        <f>Q349/Q$314</f>
        <v>0.34608104286565533</v>
      </c>
      <c r="Q349" s="307">
        <f>+SUM(Q331:Q348)</f>
        <v>36016.179999999986</v>
      </c>
      <c r="R349" s="311"/>
      <c r="S349" s="307">
        <f>+SUM(S331:S348)</f>
        <v>-19835.609999999997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0.67689359515524483</v>
      </c>
      <c r="F351" s="307">
        <f>F330+F349</f>
        <v>77611.497550978122</v>
      </c>
      <c r="G351" s="308"/>
      <c r="H351" s="306"/>
      <c r="I351" s="307"/>
      <c r="J351" s="308" t="s">
        <v>119</v>
      </c>
      <c r="K351" s="306">
        <f>L351/L$314</f>
        <v>0.4305070360190576</v>
      </c>
      <c r="L351" s="307">
        <f>L330+L349</f>
        <v>62906.11</v>
      </c>
      <c r="M351" s="311"/>
      <c r="N351" s="320">
        <f>L351-F351</f>
        <v>-14705.387550978121</v>
      </c>
      <c r="O351" s="308" t="s">
        <v>119</v>
      </c>
      <c r="P351" s="306">
        <f>Q351/Q$314</f>
        <v>0.81261106252671977</v>
      </c>
      <c r="Q351" s="307">
        <f>Q330+Q349</f>
        <v>84567.319999999978</v>
      </c>
      <c r="R351" s="311"/>
      <c r="S351" s="320">
        <f>L351-Q351</f>
        <v>-21661.209999999977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37046.844774122481</v>
      </c>
      <c r="G353" s="361"/>
      <c r="H353" s="333"/>
      <c r="I353" s="335"/>
      <c r="J353" s="332"/>
      <c r="K353" s="334"/>
      <c r="L353" s="335">
        <f>L314-L351</f>
        <v>83214.87000000001</v>
      </c>
      <c r="M353" s="332"/>
      <c r="N353" s="335">
        <f>L353-F353</f>
        <v>46168.025225877529</v>
      </c>
      <c r="O353" s="332"/>
      <c r="P353" s="1091">
        <f>+Q353/O314</f>
        <v>3.9025994228983334E-2</v>
      </c>
      <c r="Q353" s="335">
        <f>Q314-Q351</f>
        <v>19501.30999999991</v>
      </c>
      <c r="R353" s="332"/>
      <c r="S353" s="335">
        <f>L353-Q353</f>
        <v>63713.5600000001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97" t="s">
        <v>343</v>
      </c>
      <c r="E358" s="1298"/>
      <c r="F358" s="1299"/>
      <c r="G358" s="1302"/>
      <c r="H358" s="1298"/>
      <c r="I358" s="1299"/>
      <c r="J358" s="1302" t="s">
        <v>344</v>
      </c>
      <c r="K358" s="1298"/>
      <c r="L358" s="1299"/>
      <c r="M358" s="1302"/>
      <c r="N358" s="1299"/>
      <c r="O358" s="1297" t="s">
        <v>345</v>
      </c>
      <c r="P358" s="1298"/>
      <c r="Q358" s="1299"/>
      <c r="R358" s="1302" t="s">
        <v>346</v>
      </c>
      <c r="S358" s="129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3"/>
      <c r="E400" s="41"/>
      <c r="F400" s="319">
        <f>F353+F233+F289</f>
        <v>55552.213418044863</v>
      </c>
      <c r="G400" s="297"/>
      <c r="H400" s="41"/>
      <c r="I400" s="319"/>
      <c r="J400" s="983"/>
      <c r="K400" s="11"/>
      <c r="L400" s="319">
        <f>L353+L233+L289</f>
        <v>128175.62</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977"/>
      <c r="L401" s="977"/>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977"/>
      <c r="L402" s="977"/>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Février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06" t="s">
        <v>600</v>
      </c>
      <c r="Y404" s="1304"/>
      <c r="Z404" s="1307"/>
      <c r="AA404" s="1303"/>
      <c r="AB404" s="1304"/>
      <c r="AC404" s="1307"/>
      <c r="AD404" s="1303" t="s">
        <v>344</v>
      </c>
      <c r="AE404" s="1304"/>
      <c r="AF404" s="1307"/>
      <c r="AG404" s="1303" t="s">
        <v>3310</v>
      </c>
      <c r="AH404" s="1304"/>
      <c r="AI404" s="1307"/>
      <c r="AJ404" s="1303" t="s">
        <v>601</v>
      </c>
      <c r="AK404" s="1304"/>
      <c r="AL404" s="1304"/>
      <c r="AM404" s="1303" t="s">
        <v>602</v>
      </c>
      <c r="AN404" s="1304"/>
      <c r="AO404" s="130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4351203.6706626099</v>
      </c>
      <c r="AA406" s="440"/>
      <c r="AB406" s="440"/>
      <c r="AC406" s="441"/>
      <c r="AD406" s="442"/>
      <c r="AE406" s="443"/>
      <c r="AF406" s="443">
        <f>L5+L93+K194+K250+J314+J362</f>
        <v>4235130.71</v>
      </c>
      <c r="AG406" s="442"/>
      <c r="AH406" s="443"/>
      <c r="AI406" s="444"/>
      <c r="AJ406" s="442"/>
      <c r="AK406" s="443"/>
      <c r="AL406" s="443">
        <f>Q5+Q93+P194+P250+O314+O362</f>
        <v>3468713.2499999995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1">
        <f>Z407/Z406</f>
        <v>0.14264234186904659</v>
      </c>
      <c r="Y407" s="448"/>
      <c r="Z407" s="449">
        <f>F27+F108+F194+F250+F314+F362</f>
        <v>620665.88153250644</v>
      </c>
      <c r="AA407" s="448"/>
      <c r="AB407" s="448"/>
      <c r="AC407" s="449"/>
      <c r="AD407" s="1131">
        <f>AF407/AF406</f>
        <v>0.12811149812186076</v>
      </c>
      <c r="AE407" s="451"/>
      <c r="AF407" s="449">
        <f>L27+L108+L194+L250+L314+L362</f>
        <v>542568.93999999983</v>
      </c>
      <c r="AG407" s="450"/>
      <c r="AH407" s="451">
        <f>AF407-Z407</f>
        <v>-78096.941532506607</v>
      </c>
      <c r="AI407" s="452">
        <f>AH407/Z407</f>
        <v>-0.12582766969512629</v>
      </c>
      <c r="AJ407" s="450">
        <f>+AL407/AL406</f>
        <v>0.13860095238486481</v>
      </c>
      <c r="AK407" s="451"/>
      <c r="AL407" s="451">
        <f>Q27+Q108+Q194+Q250+Q314+Q362</f>
        <v>480766.95999999956</v>
      </c>
      <c r="AM407" s="453"/>
      <c r="AN407" s="451">
        <f>AF407-AL407</f>
        <v>61801.980000000272</v>
      </c>
      <c r="AO407" s="454">
        <f>IF(AL407=0,0,AN407/AL407)</f>
        <v>0.12854872556134125</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666.9081705732774</v>
      </c>
      <c r="Z409" s="457">
        <f t="shared" ref="Z409:Z415" si="75">+SUMIF($C:$C,$V409,F:F)</f>
        <v>54019.561816435467</v>
      </c>
      <c r="AA409" s="456"/>
      <c r="AB409" s="464"/>
      <c r="AC409" s="457"/>
      <c r="AD409" s="465"/>
      <c r="AE409" s="464">
        <f t="shared" ref="AE409:AE414" si="76">IF(AF409=0,0,AF409/(J$13+J$97))</f>
        <v>763.30847457627124</v>
      </c>
      <c r="AF409" s="457">
        <f t="shared" ref="AF409:AF415" si="77">+SUMIF($C:$C,$V409,L:L)</f>
        <v>45035.200000000004</v>
      </c>
      <c r="AG409" s="458">
        <f t="shared" ref="AG409:AG418" si="78">AE409-Y409</f>
        <v>96.400304002993835</v>
      </c>
      <c r="AH409" s="459">
        <f t="shared" ref="AH409:AH418" si="79">AF409-Z409</f>
        <v>-8984.361816435463</v>
      </c>
      <c r="AI409" s="460">
        <f t="shared" ref="AI409:AI418" si="80">IF(Z409=0,0,AH409/Z409)</f>
        <v>-0.16631682143156459</v>
      </c>
      <c r="AJ409" s="1092">
        <f t="shared" ref="AJ409:AJ415" si="81">AL409/AL$407</f>
        <v>7.4882475284907324E-2</v>
      </c>
      <c r="AK409" s="459">
        <f t="shared" ref="AK409:AK418" si="82">AL409/(O$13+O$97)</f>
        <v>765.97914893617019</v>
      </c>
      <c r="AL409" s="457">
        <f t="shared" ref="AL409:AL414" si="83">+SUMIF($C:$C,$V409,Q:Q)</f>
        <v>36001.019999999997</v>
      </c>
      <c r="AM409" s="461">
        <f t="shared" ref="AM409:AM418" si="84">AE409-Y409</f>
        <v>96.400304002993835</v>
      </c>
      <c r="AN409" s="459">
        <f t="shared" ref="AN409:AN431" si="85">AF409-AL409</f>
        <v>9034.1800000000076</v>
      </c>
      <c r="AO409" s="466">
        <f t="shared" ref="AO409:AO431" si="86">IF(AL409=0,0,AN409/AL409)</f>
        <v>0.25094233441163633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364.07026703649319</v>
      </c>
      <c r="Z410" s="441">
        <f t="shared" si="75"/>
        <v>29489.691629955949</v>
      </c>
      <c r="AA410" s="440"/>
      <c r="AB410" s="468"/>
      <c r="AC410" s="441"/>
      <c r="AD410" s="469"/>
      <c r="AE410" s="468">
        <f t="shared" si="76"/>
        <v>269.82491525423728</v>
      </c>
      <c r="AF410" s="441">
        <f t="shared" si="77"/>
        <v>15919.67</v>
      </c>
      <c r="AG410" s="442">
        <f t="shared" si="78"/>
        <v>-94.245351782255909</v>
      </c>
      <c r="AH410" s="443">
        <f t="shared" si="79"/>
        <v>-13570.021629955949</v>
      </c>
      <c r="AI410" s="470">
        <f t="shared" si="80"/>
        <v>-0.46016153034884139</v>
      </c>
      <c r="AJ410" s="1093">
        <f t="shared" si="81"/>
        <v>3.0907614782846173E-2</v>
      </c>
      <c r="AK410" s="443">
        <f t="shared" si="82"/>
        <v>316.15659574468089</v>
      </c>
      <c r="AL410" s="441">
        <f t="shared" si="83"/>
        <v>14859.36</v>
      </c>
      <c r="AM410" s="445">
        <f t="shared" si="84"/>
        <v>-94.245351782255909</v>
      </c>
      <c r="AN410" s="443">
        <f t="shared" si="85"/>
        <v>1060.3099999999995</v>
      </c>
      <c r="AO410" s="446">
        <f t="shared" si="86"/>
        <v>7.1356370664685392E-2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75.666666666666671</v>
      </c>
      <c r="Z411" s="457">
        <f t="shared" si="75"/>
        <v>6129</v>
      </c>
      <c r="AA411" s="456"/>
      <c r="AB411" s="464"/>
      <c r="AC411" s="457"/>
      <c r="AD411" s="465"/>
      <c r="AE411" s="464">
        <f t="shared" si="76"/>
        <v>33.285593220338981</v>
      </c>
      <c r="AF411" s="457">
        <f t="shared" si="77"/>
        <v>1963.85</v>
      </c>
      <c r="AG411" s="458">
        <f t="shared" si="78"/>
        <v>-42.38107344632769</v>
      </c>
      <c r="AH411" s="459">
        <f t="shared" si="79"/>
        <v>-4165.1499999999996</v>
      </c>
      <c r="AI411" s="460">
        <f t="shared" si="80"/>
        <v>-0.67958068200358945</v>
      </c>
      <c r="AJ411" s="1092">
        <f t="shared" si="81"/>
        <v>5.1495219222219479E-3</v>
      </c>
      <c r="AK411" s="459">
        <f t="shared" si="82"/>
        <v>52.674893617021283</v>
      </c>
      <c r="AL411" s="457">
        <f t="shared" si="83"/>
        <v>2475.7200000000003</v>
      </c>
      <c r="AM411" s="461">
        <f t="shared" si="84"/>
        <v>-42.38107344632769</v>
      </c>
      <c r="AN411" s="459">
        <f t="shared" si="85"/>
        <v>-511.87000000000035</v>
      </c>
      <c r="AO411" s="466">
        <f t="shared" si="86"/>
        <v>-0.20675601441196917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26.666666666666668</v>
      </c>
      <c r="Z412" s="457">
        <f t="shared" si="75"/>
        <v>2160</v>
      </c>
      <c r="AA412" s="456"/>
      <c r="AB412" s="464"/>
      <c r="AC412" s="457"/>
      <c r="AD412" s="465"/>
      <c r="AE412" s="464">
        <f t="shared" si="76"/>
        <v>41.793050847457629</v>
      </c>
      <c r="AF412" s="457">
        <f t="shared" si="77"/>
        <v>2465.79</v>
      </c>
      <c r="AG412" s="458">
        <f t="shared" si="78"/>
        <v>15.126384180790961</v>
      </c>
      <c r="AH412" s="459">
        <f t="shared" si="79"/>
        <v>305.78999999999996</v>
      </c>
      <c r="AI412" s="460">
        <f t="shared" si="80"/>
        <v>0.14156944444444441</v>
      </c>
      <c r="AJ412" s="1092">
        <f t="shared" si="81"/>
        <v>2.9265946228917254E-3</v>
      </c>
      <c r="AK412" s="459">
        <f t="shared" si="82"/>
        <v>29.936382978723405</v>
      </c>
      <c r="AL412" s="457">
        <f t="shared" si="83"/>
        <v>1407.01</v>
      </c>
      <c r="AM412" s="461">
        <f t="shared" si="84"/>
        <v>15.126384180790961</v>
      </c>
      <c r="AN412" s="459">
        <f t="shared" si="85"/>
        <v>1058.78</v>
      </c>
      <c r="AO412" s="466">
        <f t="shared" si="86"/>
        <v>0.75250353586683816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144.81481481481481</v>
      </c>
      <c r="Z413" s="441">
        <f t="shared" si="75"/>
        <v>11730</v>
      </c>
      <c r="AA413" s="440"/>
      <c r="AB413" s="468"/>
      <c r="AC413" s="441"/>
      <c r="AD413" s="469"/>
      <c r="AE413" s="468">
        <f t="shared" si="76"/>
        <v>260.59881355932202</v>
      </c>
      <c r="AF413" s="441">
        <f t="shared" si="77"/>
        <v>15375.33</v>
      </c>
      <c r="AG413" s="442">
        <f t="shared" si="78"/>
        <v>115.78399874450722</v>
      </c>
      <c r="AH413" s="443">
        <f t="shared" si="79"/>
        <v>3645.33</v>
      </c>
      <c r="AI413" s="470">
        <f t="shared" si="80"/>
        <v>0.31076982097186701</v>
      </c>
      <c r="AJ413" s="1093">
        <f t="shared" si="81"/>
        <v>2.163420298266755E-2</v>
      </c>
      <c r="AK413" s="443">
        <f t="shared" si="82"/>
        <v>221.29808510638298</v>
      </c>
      <c r="AL413" s="441">
        <f t="shared" si="83"/>
        <v>10401.01</v>
      </c>
      <c r="AM413" s="445">
        <f t="shared" si="84"/>
        <v>115.78399874450722</v>
      </c>
      <c r="AN413" s="443">
        <f t="shared" si="85"/>
        <v>4974.32</v>
      </c>
      <c r="AO413" s="446">
        <f t="shared" si="86"/>
        <v>0.478253554222138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172.03395061728395</v>
      </c>
      <c r="Z414" s="457">
        <f t="shared" si="75"/>
        <v>13934.75</v>
      </c>
      <c r="AA414" s="460"/>
      <c r="AB414" s="464"/>
      <c r="AC414" s="457"/>
      <c r="AD414" s="465"/>
      <c r="AE414" s="464">
        <f t="shared" si="76"/>
        <v>111.81305084745762</v>
      </c>
      <c r="AF414" s="457">
        <f t="shared" si="77"/>
        <v>6596.9699999999993</v>
      </c>
      <c r="AG414" s="458">
        <f t="shared" si="78"/>
        <v>-60.220899769826332</v>
      </c>
      <c r="AH414" s="459">
        <f t="shared" si="79"/>
        <v>-7337.7800000000007</v>
      </c>
      <c r="AI414" s="460">
        <f t="shared" si="80"/>
        <v>-0.52658138825597878</v>
      </c>
      <c r="AJ414" s="1092">
        <f t="shared" si="81"/>
        <v>2.3751340982333752E-2</v>
      </c>
      <c r="AK414" s="459">
        <f t="shared" si="82"/>
        <v>242.95446808510638</v>
      </c>
      <c r="AL414" s="457">
        <f t="shared" si="83"/>
        <v>11418.86</v>
      </c>
      <c r="AM414" s="461">
        <f t="shared" si="84"/>
        <v>-60.220899769826332</v>
      </c>
      <c r="AN414" s="459">
        <f t="shared" si="85"/>
        <v>-4821.8900000000012</v>
      </c>
      <c r="AO414" s="466">
        <f t="shared" si="86"/>
        <v>-0.4222742025035775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264.33050816385065</v>
      </c>
      <c r="Z415" s="457">
        <f t="shared" si="75"/>
        <v>21410.771161271903</v>
      </c>
      <c r="AA415" s="456"/>
      <c r="AB415" s="464"/>
      <c r="AC415" s="457"/>
      <c r="AD415" s="465"/>
      <c r="AE415" s="464">
        <f t="shared" ref="AE415:AE418" si="87">IF(AF415=0,0,AF415/(J$13+J$13))</f>
        <v>294.19475609756097</v>
      </c>
      <c r="AF415" s="901">
        <f t="shared" si="77"/>
        <v>24123.97</v>
      </c>
      <c r="AG415" s="959">
        <f t="shared" si="78"/>
        <v>29.864247933710317</v>
      </c>
      <c r="AH415" s="905">
        <f t="shared" si="79"/>
        <v>2713.1988387280981</v>
      </c>
      <c r="AI415" s="460">
        <f t="shared" si="80"/>
        <v>0.12672121047352883</v>
      </c>
      <c r="AJ415" s="1092">
        <f t="shared" si="81"/>
        <v>-1.9125087131611561E-2</v>
      </c>
      <c r="AK415" s="459">
        <f t="shared" si="82"/>
        <v>-195.63212765957448</v>
      </c>
      <c r="AL415" s="457">
        <f>IFERROR(SUMIF($C:$C,$V415,Q:Q),0)</f>
        <v>-9194.7100000000009</v>
      </c>
      <c r="AM415" s="461">
        <f t="shared" si="84"/>
        <v>29.864247933710317</v>
      </c>
      <c r="AN415" s="459">
        <f t="shared" si="85"/>
        <v>33318.68</v>
      </c>
      <c r="AO415" s="466">
        <f t="shared" si="86"/>
        <v>-3.6236792677528706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0.22374965136599026</v>
      </c>
      <c r="Y419" s="472"/>
      <c r="Z419" s="474">
        <f>SUM(Z409:Z418)</f>
        <v>138873.77460766333</v>
      </c>
      <c r="AA419" s="473"/>
      <c r="AB419" s="472"/>
      <c r="AC419" s="474"/>
      <c r="AD419" s="475">
        <f>AF419/AF407</f>
        <v>0.20546841476034369</v>
      </c>
      <c r="AE419" s="472"/>
      <c r="AF419" s="474">
        <f>SUM(AF409:AF418)</f>
        <v>111480.78</v>
      </c>
      <c r="AG419" s="476"/>
      <c r="AH419" s="477">
        <f t="shared" ref="AH419:AH451" si="88">AF419-Z419</f>
        <v>-27392.994607663335</v>
      </c>
      <c r="AI419" s="473">
        <f>AH419/Z419</f>
        <v>-0.19725102658908886</v>
      </c>
      <c r="AJ419" s="475">
        <f>IF($AL$407=0,0,AL419/$AL$407)</f>
        <v>0.14012666344625693</v>
      </c>
      <c r="AK419" s="472"/>
      <c r="AL419" s="474">
        <f>SUM(AL409:AL418)</f>
        <v>67368.27</v>
      </c>
      <c r="AM419" s="478"/>
      <c r="AN419" s="477">
        <f t="shared" si="85"/>
        <v>44112.509999999995</v>
      </c>
      <c r="AO419" s="454">
        <f t="shared" si="86"/>
        <v>0.65479653848911357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12660.759999999998</v>
      </c>
      <c r="AG420" s="458"/>
      <c r="AH420" s="459">
        <f t="shared" si="88"/>
        <v>-392.49307692307593</v>
      </c>
      <c r="AI420" s="460">
        <f t="shared" ref="AI420:AI432" si="89">IF(Z420=0,0,AH420/Z420)</f>
        <v>-3.0068602409691024E-2</v>
      </c>
      <c r="AJ420" s="465"/>
      <c r="AK420" s="456"/>
      <c r="AL420" s="457">
        <f>+INDEX('Réel 2024'!$A$2:$AO$501,MATCH($A420,'Réel 2024'!$A$2:$A$501,0),MATCH(F$2,'Réel 2024'!$A$2:$AO$2,0))</f>
        <v>16663.66</v>
      </c>
      <c r="AM420" s="461"/>
      <c r="AN420" s="459">
        <f t="shared" si="85"/>
        <v>-4002.9000000000015</v>
      </c>
      <c r="AO420" s="466">
        <f t="shared" si="86"/>
        <v>-0.24021733520727148</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43849.358974358969</v>
      </c>
      <c r="AA421" s="456"/>
      <c r="AB421" s="456"/>
      <c r="AC421" s="457"/>
      <c r="AD421" s="465"/>
      <c r="AE421" s="464"/>
      <c r="AF421" s="457">
        <f>+SUMIF($C:$C,$V421,L:L)</f>
        <v>39850.109999999993</v>
      </c>
      <c r="AG421" s="458"/>
      <c r="AH421" s="459">
        <f t="shared" si="88"/>
        <v>-3999.2489743589758</v>
      </c>
      <c r="AI421" s="460">
        <f t="shared" si="89"/>
        <v>-9.1204274541334743E-2</v>
      </c>
      <c r="AJ421" s="465"/>
      <c r="AK421" s="456"/>
      <c r="AL421" s="457">
        <f t="shared" ref="AL421:AL429" si="91">+SUMIF($C:$C,$V421,Q:Q)</f>
        <v>50318.89</v>
      </c>
      <c r="AM421" s="461"/>
      <c r="AN421" s="459">
        <f t="shared" si="85"/>
        <v>-10468.780000000006</v>
      </c>
      <c r="AO421" s="466">
        <f t="shared" si="86"/>
        <v>-0.20804870695677122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73396.516991199998</v>
      </c>
      <c r="AA422" s="440"/>
      <c r="AB422" s="440"/>
      <c r="AC422" s="441"/>
      <c r="AD422" s="469"/>
      <c r="AE422" s="468"/>
      <c r="AF422" s="441">
        <f>+SUMIF($C:$C,$V422,L:L)</f>
        <v>55532.039999999994</v>
      </c>
      <c r="AG422" s="442"/>
      <c r="AH422" s="443">
        <f t="shared" si="88"/>
        <v>-17864.476991200005</v>
      </c>
      <c r="AI422" s="470">
        <f t="shared" si="89"/>
        <v>-0.24339679488254051</v>
      </c>
      <c r="AJ422" s="469"/>
      <c r="AK422" s="440"/>
      <c r="AL422" s="441">
        <f t="shared" si="91"/>
        <v>54584.880000000005</v>
      </c>
      <c r="AM422" s="445"/>
      <c r="AN422" s="443">
        <f t="shared" si="85"/>
        <v>947.15999999998894</v>
      </c>
      <c r="AO422" s="446">
        <f t="shared" si="86"/>
        <v>1.7352057932526165E-2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19891.452097999998</v>
      </c>
      <c r="AA423" s="456"/>
      <c r="AB423" s="456"/>
      <c r="AC423" s="457"/>
      <c r="AD423" s="465"/>
      <c r="AE423" s="464"/>
      <c r="AF423" s="457">
        <f>+SUMIF($C:$C,$V423,L:L)</f>
        <v>35020.720000000001</v>
      </c>
      <c r="AG423" s="458"/>
      <c r="AH423" s="459">
        <f t="shared" si="88"/>
        <v>15129.267902000003</v>
      </c>
      <c r="AI423" s="460">
        <f t="shared" si="89"/>
        <v>0.76059142527463786</v>
      </c>
      <c r="AJ423" s="465"/>
      <c r="AK423" s="456"/>
      <c r="AL423" s="457">
        <f t="shared" si="91"/>
        <v>23093.05</v>
      </c>
      <c r="AM423" s="461"/>
      <c r="AN423" s="459">
        <f t="shared" si="85"/>
        <v>11927.670000000002</v>
      </c>
      <c r="AO423" s="466">
        <f t="shared" si="86"/>
        <v>0.51650474926438916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26214.917022316586</v>
      </c>
      <c r="AA424" s="456"/>
      <c r="AB424" s="456"/>
      <c r="AC424" s="457"/>
      <c r="AD424" s="465"/>
      <c r="AE424" s="464"/>
      <c r="AF424" s="457">
        <f>+SUMIF($C:$C,$V424,L:L)</f>
        <v>16681.560000000001</v>
      </c>
      <c r="AG424" s="458"/>
      <c r="AH424" s="459">
        <f t="shared" si="88"/>
        <v>-9533.3570223165843</v>
      </c>
      <c r="AI424" s="460">
        <f t="shared" si="89"/>
        <v>-0.36366153721565858</v>
      </c>
      <c r="AJ424" s="465"/>
      <c r="AK424" s="456"/>
      <c r="AL424" s="457">
        <f t="shared" si="91"/>
        <v>14700.61</v>
      </c>
      <c r="AM424" s="461"/>
      <c r="AN424" s="459">
        <f t="shared" si="85"/>
        <v>1980.9500000000007</v>
      </c>
      <c r="AO424" s="466">
        <f t="shared" si="86"/>
        <v>0.13475291161387185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4">
        <f>Z428/(SUM(Z420:Z424)+E194-F194+Z409+Z410)</f>
        <v>0.10673311496527488</v>
      </c>
      <c r="Z428" s="441">
        <f t="shared" si="90"/>
        <v>36975.584803543505</v>
      </c>
      <c r="AA428" s="440"/>
      <c r="AB428" s="440"/>
      <c r="AC428" s="441"/>
      <c r="AD428" s="469"/>
      <c r="AE428" s="468"/>
      <c r="AF428" s="441">
        <f>+SUMIF($C:$C,$V428,L:L)</f>
        <v>35636.82</v>
      </c>
      <c r="AG428" s="442"/>
      <c r="AH428" s="443">
        <f t="shared" si="88"/>
        <v>-1338.764803543505</v>
      </c>
      <c r="AI428" s="470">
        <f t="shared" si="89"/>
        <v>-3.6206724265662085E-2</v>
      </c>
      <c r="AJ428" s="469"/>
      <c r="AK428" s="440"/>
      <c r="AL428" s="441">
        <f t="shared" si="91"/>
        <v>31789.33</v>
      </c>
      <c r="AM428" s="445"/>
      <c r="AN428" s="443">
        <f t="shared" si="85"/>
        <v>3847.489999999998</v>
      </c>
      <c r="AO428" s="446">
        <f t="shared" si="86"/>
        <v>0.12103086161300027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5">
        <f>Z429/(SUM(Z420:Z424)+E194-F194+Z409+Z410)</f>
        <v>0.1297724217198937</v>
      </c>
      <c r="Z429" s="457">
        <f t="shared" si="90"/>
        <v>44957.09870386788</v>
      </c>
      <c r="AA429" s="456"/>
      <c r="AB429" s="456"/>
      <c r="AC429" s="457"/>
      <c r="AD429" s="465"/>
      <c r="AE429" s="464"/>
      <c r="AF429" s="457">
        <f>+SUMIF($C:$C,$V429,L:L)</f>
        <v>39213.17</v>
      </c>
      <c r="AG429" s="458"/>
      <c r="AH429" s="459">
        <f t="shared" si="88"/>
        <v>-5743.9287038678813</v>
      </c>
      <c r="AI429" s="460">
        <f t="shared" si="89"/>
        <v>-0.12776466608094758</v>
      </c>
      <c r="AJ429" s="465"/>
      <c r="AK429" s="456"/>
      <c r="AL429" s="457">
        <f t="shared" si="91"/>
        <v>46268.75</v>
      </c>
      <c r="AM429" s="461"/>
      <c r="AN429" s="459">
        <f t="shared" si="85"/>
        <v>-7055.5800000000017</v>
      </c>
      <c r="AO429" s="466">
        <f t="shared" si="86"/>
        <v>-0.15249126029987847</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5">
        <f>Z430/(SUM(Z420:Z424)+E194-F194+Z410+Z409)</f>
        <v>6.6861008581771311E-2</v>
      </c>
      <c r="Z430" s="457">
        <f t="shared" si="90"/>
        <v>23162.679114818882</v>
      </c>
      <c r="AA430" s="456"/>
      <c r="AB430" s="456"/>
      <c r="AC430" s="457"/>
      <c r="AD430" s="465"/>
      <c r="AE430" s="464"/>
      <c r="AF430" s="457">
        <f>+SUMIF($C:$C,$V430,L:L)</f>
        <v>21849.739999999998</v>
      </c>
      <c r="AG430" s="458"/>
      <c r="AH430" s="459">
        <f t="shared" si="88"/>
        <v>-1312.9391148188843</v>
      </c>
      <c r="AI430" s="460">
        <f t="shared" si="89"/>
        <v>-5.6683387457494058E-2</v>
      </c>
      <c r="AJ430" s="465"/>
      <c r="AK430" s="456"/>
      <c r="AL430" s="457">
        <f>IFERROR(SUMIF($C:$C,$V430,Q:Q),0)</f>
        <v>19687.640000000003</v>
      </c>
      <c r="AM430" s="461"/>
      <c r="AN430" s="459">
        <f t="shared" si="85"/>
        <v>2162.0999999999949</v>
      </c>
      <c r="AO430" s="466">
        <f t="shared" si="86"/>
        <v>0.10982017143751077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10099.05840449206</v>
      </c>
      <c r="AA431" s="456"/>
      <c r="AB431" s="456"/>
      <c r="AC431" s="457"/>
      <c r="AD431" s="465"/>
      <c r="AE431" s="464"/>
      <c r="AF431" s="457">
        <f>+SUMIF($C:$C,$V431,L:L)</f>
        <v>7998.89</v>
      </c>
      <c r="AG431" s="458"/>
      <c r="AH431" s="459">
        <f t="shared" si="88"/>
        <v>-2100.1684044920594</v>
      </c>
      <c r="AI431" s="479">
        <f t="shared" si="89"/>
        <v>-0.20795685304264652</v>
      </c>
      <c r="AJ431" s="465"/>
      <c r="AK431" s="456"/>
      <c r="AL431" s="457">
        <f>IFERROR(SUMIF($C:$C,$V431,Q:Q),0)</f>
        <v>10755.45</v>
      </c>
      <c r="AM431" s="461"/>
      <c r="AN431" s="459">
        <f t="shared" si="85"/>
        <v>-2756.5600000000004</v>
      </c>
      <c r="AO431" s="466">
        <f t="shared" si="86"/>
        <v>-0.25629425082167645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0.4698178647576407</v>
      </c>
      <c r="Y433" s="472"/>
      <c r="Z433" s="474">
        <f>SUM(Z420:Z432)</f>
        <v>291599.91918952094</v>
      </c>
      <c r="AA433" s="473"/>
      <c r="AB433" s="472"/>
      <c r="AC433" s="474"/>
      <c r="AD433" s="475">
        <f>AF433/AF407</f>
        <v>0.48739209067146394</v>
      </c>
      <c r="AE433" s="480"/>
      <c r="AF433" s="474">
        <f>SUM(AF420:AF432)</f>
        <v>264443.81</v>
      </c>
      <c r="AG433" s="476"/>
      <c r="AH433" s="477">
        <f t="shared" si="88"/>
        <v>-27156.109189520939</v>
      </c>
      <c r="AI433" s="473">
        <f>AH433/Z433</f>
        <v>-9.3127972274475279E-2</v>
      </c>
      <c r="AJ433" s="475">
        <f>IF($AL$407=0,0,AL433/$AL$407)</f>
        <v>0.55715613235984507</v>
      </c>
      <c r="AK433" s="472"/>
      <c r="AL433" s="474">
        <f>SUM(AL420:AL432)</f>
        <v>267862.26000000007</v>
      </c>
      <c r="AM433" s="482"/>
      <c r="AN433" s="477">
        <f t="shared" ref="AN433:AN451" si="92">AF433-AL433</f>
        <v>-3418.4500000000698</v>
      </c>
      <c r="AO433" s="454">
        <f t="shared" ref="AO433:AO461" si="93">IF(AL433=0,0,AN433/AL433)</f>
        <v>-1.2761969528667715E-2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7412.5</v>
      </c>
      <c r="AA434" s="484"/>
      <c r="AB434" s="484"/>
      <c r="AC434" s="485"/>
      <c r="AD434" s="486"/>
      <c r="AE434" s="487"/>
      <c r="AF434" s="485">
        <f t="shared" ref="AF434:AF448" si="95">+SUMIF($C:$C,$V434,L:L)</f>
        <v>5329.2</v>
      </c>
      <c r="AG434" s="486"/>
      <c r="AH434" s="488">
        <f t="shared" si="88"/>
        <v>-2083.3000000000002</v>
      </c>
      <c r="AI434" s="489">
        <f t="shared" ref="AI434:AI451" si="96">IF(Z434=0,0,AH434/Z434)</f>
        <v>-0.28105227655986514</v>
      </c>
      <c r="AJ434" s="486"/>
      <c r="AK434" s="484"/>
      <c r="AL434" s="485">
        <f t="shared" ref="AL434:AL448" si="97">+SUMIF($C:$C,$V434,Q:Q)</f>
        <v>13701.99</v>
      </c>
      <c r="AM434" s="490"/>
      <c r="AN434" s="488">
        <f t="shared" si="92"/>
        <v>-8372.7900000000009</v>
      </c>
      <c r="AO434" s="462">
        <f t="shared" si="93"/>
        <v>-0.61106379438315173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2932.61</v>
      </c>
      <c r="AG435" s="458"/>
      <c r="AH435" s="459">
        <f t="shared" si="88"/>
        <v>-1612.7711628057082</v>
      </c>
      <c r="AI435" s="460">
        <f t="shared" si="96"/>
        <v>-0.35481538402165591</v>
      </c>
      <c r="AJ435" s="465"/>
      <c r="AK435" s="456"/>
      <c r="AL435" s="457">
        <f t="shared" si="97"/>
        <v>9465.3699999999899</v>
      </c>
      <c r="AM435" s="461"/>
      <c r="AN435" s="459">
        <f t="shared" si="92"/>
        <v>-6532.7599999999893</v>
      </c>
      <c r="AO435" s="466">
        <f t="shared" si="93"/>
        <v>-0.69017481619841548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29392.329999999998</v>
      </c>
      <c r="AG436" s="442"/>
      <c r="AH436" s="443">
        <f t="shared" si="88"/>
        <v>6683.0653333333285</v>
      </c>
      <c r="AI436" s="470">
        <f t="shared" si="96"/>
        <v>0.29428805518053297</v>
      </c>
      <c r="AJ436" s="469"/>
      <c r="AK436" s="440"/>
      <c r="AL436" s="441">
        <f t="shared" si="97"/>
        <v>24402.18</v>
      </c>
      <c r="AM436" s="445"/>
      <c r="AN436" s="443">
        <f t="shared" si="92"/>
        <v>4990.1499999999978</v>
      </c>
      <c r="AO436" s="446">
        <f t="shared" si="93"/>
        <v>0.20449607371144701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23440</v>
      </c>
      <c r="AA437" s="456"/>
      <c r="AB437" s="456"/>
      <c r="AC437" s="457"/>
      <c r="AD437" s="465"/>
      <c r="AE437" s="464"/>
      <c r="AF437" s="457">
        <f t="shared" si="95"/>
        <v>20026.050000000003</v>
      </c>
      <c r="AG437" s="458"/>
      <c r="AH437" s="459">
        <f t="shared" si="88"/>
        <v>-3413.9499999999971</v>
      </c>
      <c r="AI437" s="460">
        <f t="shared" si="96"/>
        <v>-0.14564633105802036</v>
      </c>
      <c r="AJ437" s="465"/>
      <c r="AK437" s="456"/>
      <c r="AL437" s="457">
        <f t="shared" si="97"/>
        <v>24573.200000000001</v>
      </c>
      <c r="AM437" s="461"/>
      <c r="AN437" s="459">
        <f t="shared" si="92"/>
        <v>-4547.1499999999978</v>
      </c>
      <c r="AO437" s="466">
        <f t="shared" si="93"/>
        <v>-0.1850450897725977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1915.5899999999997</v>
      </c>
      <c r="AG438" s="458"/>
      <c r="AH438" s="459">
        <f t="shared" si="88"/>
        <v>-2834.4100000000003</v>
      </c>
      <c r="AI438" s="460">
        <f t="shared" si="96"/>
        <v>-0.59671789473684222</v>
      </c>
      <c r="AJ438" s="465"/>
      <c r="AK438" s="456"/>
      <c r="AL438" s="457">
        <f t="shared" si="97"/>
        <v>3147.93</v>
      </c>
      <c r="AM438" s="461"/>
      <c r="AN438" s="459">
        <f t="shared" si="92"/>
        <v>-1232.3400000000001</v>
      </c>
      <c r="AO438" s="466">
        <f t="shared" si="93"/>
        <v>-0.3914763034756174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37183.201815916793</v>
      </c>
      <c r="AA439" s="456"/>
      <c r="AB439" s="456"/>
      <c r="AC439" s="457"/>
      <c r="AD439" s="465"/>
      <c r="AE439" s="464"/>
      <c r="AF439" s="457">
        <f t="shared" si="95"/>
        <v>26195.010000000002</v>
      </c>
      <c r="AG439" s="458"/>
      <c r="AH439" s="459">
        <f t="shared" si="88"/>
        <v>-10988.191815916791</v>
      </c>
      <c r="AI439" s="460">
        <f t="shared" si="96"/>
        <v>-0.29551494436428927</v>
      </c>
      <c r="AJ439" s="465"/>
      <c r="AK439" s="456"/>
      <c r="AL439" s="457">
        <f t="shared" si="97"/>
        <v>39617.289999999994</v>
      </c>
      <c r="AM439" s="461"/>
      <c r="AN439" s="459">
        <f t="shared" si="92"/>
        <v>-13422.279999999992</v>
      </c>
      <c r="AO439" s="466">
        <f t="shared" si="93"/>
        <v>-0.33879853972848706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7003.95</v>
      </c>
      <c r="AG441" s="458"/>
      <c r="AH441" s="459">
        <f t="shared" si="88"/>
        <v>1833.9499999999998</v>
      </c>
      <c r="AI441" s="460">
        <f t="shared" si="96"/>
        <v>0.3547292069632495</v>
      </c>
      <c r="AJ441" s="465"/>
      <c r="AK441" s="456"/>
      <c r="AL441" s="457">
        <f t="shared" si="97"/>
        <v>7186.12</v>
      </c>
      <c r="AM441" s="461"/>
      <c r="AN441" s="459">
        <f t="shared" si="92"/>
        <v>-182.17000000000007</v>
      </c>
      <c r="AO441" s="466">
        <f t="shared" si="93"/>
        <v>-2.5350258553990201E-2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560.16999999999996</v>
      </c>
      <c r="AG442" s="458"/>
      <c r="AH442" s="459">
        <f t="shared" si="88"/>
        <v>-439.83000000000004</v>
      </c>
      <c r="AI442" s="479">
        <f t="shared" si="96"/>
        <v>-0.43983000000000005</v>
      </c>
      <c r="AJ442" s="465"/>
      <c r="AK442" s="456"/>
      <c r="AL442" s="457">
        <f t="shared" si="97"/>
        <v>967.33999999999992</v>
      </c>
      <c r="AM442" s="461"/>
      <c r="AN442" s="459">
        <f t="shared" si="92"/>
        <v>-407.16999999999996</v>
      </c>
      <c r="AO442" s="466">
        <f t="shared" si="93"/>
        <v>-0.42091715425806853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3372.4900000000002</v>
      </c>
      <c r="AG443" s="458"/>
      <c r="AH443" s="459">
        <f t="shared" si="88"/>
        <v>1068.9900000000002</v>
      </c>
      <c r="AI443" s="460">
        <f t="shared" si="96"/>
        <v>0.46407206425005437</v>
      </c>
      <c r="AJ443" s="465"/>
      <c r="AK443" s="456"/>
      <c r="AL443" s="457">
        <f t="shared" si="97"/>
        <v>3256.09</v>
      </c>
      <c r="AM443" s="461"/>
      <c r="AN443" s="459">
        <f t="shared" si="92"/>
        <v>116.40000000000009</v>
      </c>
      <c r="AO443" s="466">
        <f t="shared" si="93"/>
        <v>3.5748397618001984E-2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815.38</v>
      </c>
      <c r="AG444" s="458"/>
      <c r="AH444" s="459">
        <f t="shared" si="88"/>
        <v>-81.495000000000005</v>
      </c>
      <c r="AI444" s="479">
        <f t="shared" si="96"/>
        <v>-9.0865505226480847E-2</v>
      </c>
      <c r="AJ444" s="465"/>
      <c r="AK444" s="456"/>
      <c r="AL444" s="457">
        <f t="shared" si="97"/>
        <v>916.31</v>
      </c>
      <c r="AM444" s="461"/>
      <c r="AN444" s="459">
        <f t="shared" si="92"/>
        <v>-100.92999999999995</v>
      </c>
      <c r="AO444" s="466">
        <f t="shared" si="93"/>
        <v>-0.11014831225240361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1110.43</v>
      </c>
      <c r="AG445" s="458"/>
      <c r="AH445" s="459">
        <f t="shared" si="88"/>
        <v>398.18000000000018</v>
      </c>
      <c r="AI445" s="460">
        <f t="shared" si="96"/>
        <v>0.55904527904527934</v>
      </c>
      <c r="AJ445" s="465"/>
      <c r="AK445" s="456"/>
      <c r="AL445" s="457">
        <f t="shared" si="97"/>
        <v>1194.3599999999999</v>
      </c>
      <c r="AM445" s="461"/>
      <c r="AN445" s="459">
        <f t="shared" si="92"/>
        <v>-83.929999999999836</v>
      </c>
      <c r="AO445" s="466">
        <f t="shared" si="93"/>
        <v>-7.0271944807260664E-2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109.42</v>
      </c>
      <c r="AG446" s="458"/>
      <c r="AH446" s="459">
        <f t="shared" si="88"/>
        <v>-265.58</v>
      </c>
      <c r="AI446" s="479">
        <f t="shared" si="96"/>
        <v>-0.70821333333333325</v>
      </c>
      <c r="AJ446" s="465"/>
      <c r="AK446" s="456"/>
      <c r="AL446" s="457">
        <f t="shared" si="97"/>
        <v>222.52</v>
      </c>
      <c r="AM446" s="461"/>
      <c r="AN446" s="459">
        <f t="shared" si="92"/>
        <v>-113.10000000000001</v>
      </c>
      <c r="AO446" s="466">
        <f t="shared" si="93"/>
        <v>-0.50826891964767218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3853.1499999999996</v>
      </c>
      <c r="AG447" s="458"/>
      <c r="AH447" s="459">
        <f t="shared" si="88"/>
        <v>-646.85000000000036</v>
      </c>
      <c r="AI447" s="460">
        <f t="shared" si="96"/>
        <v>-0.14374444444444454</v>
      </c>
      <c r="AJ447" s="465"/>
      <c r="AK447" s="456"/>
      <c r="AL447" s="457">
        <f t="shared" si="97"/>
        <v>2184.52</v>
      </c>
      <c r="AM447" s="461"/>
      <c r="AN447" s="459">
        <f t="shared" si="92"/>
        <v>1668.6299999999997</v>
      </c>
      <c r="AO447" s="466">
        <f t="shared" si="93"/>
        <v>0.76384285792759954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5">
        <f>Z448/Z406</f>
        <v>1.4753176647542222E-3</v>
      </c>
      <c r="Z448" s="457">
        <f t="shared" si="94"/>
        <v>6419.4076382719613</v>
      </c>
      <c r="AA448" s="456"/>
      <c r="AB448" s="464"/>
      <c r="AC448" s="457"/>
      <c r="AD448" s="465"/>
      <c r="AE448" s="464"/>
      <c r="AF448" s="901">
        <f t="shared" si="95"/>
        <v>13486.980000000001</v>
      </c>
      <c r="AG448" s="458"/>
      <c r="AH448" s="905">
        <f t="shared" si="88"/>
        <v>7067.5723617280401</v>
      </c>
      <c r="AI448" s="460">
        <f t="shared" si="96"/>
        <v>1.1009695535755941</v>
      </c>
      <c r="AJ448" s="465"/>
      <c r="AK448" s="456"/>
      <c r="AL448" s="457">
        <f t="shared" si="97"/>
        <v>4811.93</v>
      </c>
      <c r="AM448" s="461"/>
      <c r="AN448" s="459">
        <f t="shared" si="92"/>
        <v>8675.0500000000011</v>
      </c>
      <c r="AO448" s="466">
        <f t="shared" si="93"/>
        <v>1.802821321174664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0.19562438325732601</v>
      </c>
      <c r="Y452" s="472"/>
      <c r="Z452" s="474">
        <f>+SUM(Z434:Z451)</f>
        <v>121417.38028366114</v>
      </c>
      <c r="AA452" s="473"/>
      <c r="AB452" s="472"/>
      <c r="AC452" s="474"/>
      <c r="AD452" s="475">
        <f>AF452/AF407</f>
        <v>0.21398711102039869</v>
      </c>
      <c r="AE452" s="472"/>
      <c r="AF452" s="474">
        <f>+SUM(AF434:AF451)</f>
        <v>116102.76</v>
      </c>
      <c r="AG452" s="481"/>
      <c r="AH452" s="494">
        <f>+SUM(AH434:AH451)</f>
        <v>-5314.6202836611301</v>
      </c>
      <c r="AI452" s="473">
        <f>AH452/Z452</f>
        <v>-4.3771495244295813E-2</v>
      </c>
      <c r="AJ452" s="475">
        <f>IF($AL$407=0,0,AL452/$AL$407)</f>
        <v>0.28214740463862176</v>
      </c>
      <c r="AK452" s="473"/>
      <c r="AL452" s="474">
        <f>+SUM(AL434:AL451)</f>
        <v>135647.14999999997</v>
      </c>
      <c r="AM452" s="482"/>
      <c r="AN452" s="477">
        <f>+SUM(AN434:AN451)</f>
        <v>-19544.389999999978</v>
      </c>
      <c r="AO452" s="495">
        <f t="shared" si="93"/>
        <v>-0.1440825701092871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79500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43500</v>
      </c>
      <c r="AO453" s="466">
        <f t="shared" si="93"/>
        <v>1.2083333333333333</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4909</v>
      </c>
      <c r="AM455" s="445"/>
      <c r="AN455" s="443">
        <f t="shared" si="100"/>
        <v>-3409</v>
      </c>
      <c r="AO455" s="446">
        <f t="shared" si="93"/>
        <v>-0.69443878590344266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3560</v>
      </c>
      <c r="AG457" s="442"/>
      <c r="AH457" s="443">
        <f t="shared" si="98"/>
        <v>-784.25</v>
      </c>
      <c r="AI457" s="470">
        <f t="shared" si="99"/>
        <v>-0.18052598262070554</v>
      </c>
      <c r="AJ457" s="469"/>
      <c r="AK457" s="440"/>
      <c r="AL457" s="441">
        <f>+INDEX('Réel 2024'!$A$2:$AO$501,MATCH($A457,'Réel 2024'!$A$2:$A$501,0),MATCH(F$2,'Réel 2024'!$A$2:$AO$2,0))</f>
        <v>4344.25</v>
      </c>
      <c r="AM457" s="445"/>
      <c r="AN457" s="443">
        <f t="shared" si="100"/>
        <v>-784.25</v>
      </c>
      <c r="AO457" s="446">
        <f t="shared" si="93"/>
        <v>-0.18052598262070554</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143">
        <f>SUMIFS(BV_Data_An_Cour!$O:$O,BV_Data_An_Cour!$V:$V,$V458)</f>
        <v>10388.620000000001</v>
      </c>
      <c r="AG458" s="458"/>
      <c r="AH458" s="459">
        <f t="shared" si="98"/>
        <v>2855.2866666666687</v>
      </c>
      <c r="AI458" s="460">
        <f t="shared" si="99"/>
        <v>0.37902035398230122</v>
      </c>
      <c r="AJ458" s="465"/>
      <c r="AK458" s="456"/>
      <c r="AL458" s="457">
        <f>+INDEX('Réel 2024'!$A$2:$AO$501,MATCH($A458,'Réel 2024'!$A$2:$A$501,0),MATCH(F$2,'Réel 2024'!$A$2:$AO$2,0))</f>
        <v>8639.25</v>
      </c>
      <c r="AM458" s="461"/>
      <c r="AN458" s="459">
        <f t="shared" si="100"/>
        <v>1749.3700000000008</v>
      </c>
      <c r="AO458" s="466">
        <f t="shared" si="93"/>
        <v>0.20249095696964445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2767</v>
      </c>
      <c r="AA459" s="456"/>
      <c r="AB459" s="464"/>
      <c r="AC459" s="457"/>
      <c r="AD459" s="465"/>
      <c r="AE459" s="464"/>
      <c r="AF459" s="457">
        <f>SUMIFS(BV_Data_An_Cour!$O:$O,BV_Data_An_Cour!$V:$V,$V459)</f>
        <v>39415.100000000006</v>
      </c>
      <c r="AG459" s="458"/>
      <c r="AH459" s="459">
        <f t="shared" si="98"/>
        <v>36648.100000000006</v>
      </c>
      <c r="AI459" s="460">
        <f t="shared" si="99"/>
        <v>13.244705457173836</v>
      </c>
      <c r="AJ459" s="465"/>
      <c r="AK459" s="456"/>
      <c r="AL459" s="457">
        <f>+INDEX('Réel 2024'!$A$2:$AO$501,MATCH($A459,'Réel 2024'!$A$2:$A$501,0),MATCH(F$2,'Réel 2024'!$A$2:$AO$2,0))</f>
        <v>6940.67</v>
      </c>
      <c r="AM459" s="461"/>
      <c r="AN459" s="459">
        <f t="shared" si="100"/>
        <v>32474.430000000008</v>
      </c>
      <c r="AO459" s="466">
        <f t="shared" si="93"/>
        <v>4.6788609745168701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104.94</v>
      </c>
      <c r="AG460" s="442"/>
      <c r="AH460" s="443">
        <f t="shared" si="98"/>
        <v>-1259.6223407645368</v>
      </c>
      <c r="AI460" s="470">
        <f t="shared" si="99"/>
        <v>-0.92309622150263626</v>
      </c>
      <c r="AJ460" s="469"/>
      <c r="AK460" s="440"/>
      <c r="AL460" s="441">
        <f>+INDEX('Réel 2024'!$A$2:$AO$501,MATCH($A460,'Réel 2024'!$A$2:$A$501,0),MATCH(F$2,'Réel 2024'!$A$2:$AO$2,0))</f>
        <v>486.24</v>
      </c>
      <c r="AM460" s="445"/>
      <c r="AN460" s="443">
        <f t="shared" si="100"/>
        <v>-381.3</v>
      </c>
      <c r="AO460" s="446">
        <f t="shared" si="93"/>
        <v>-0.78418065153010863</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0</v>
      </c>
      <c r="AG461" s="458"/>
      <c r="AH461" s="459">
        <f t="shared" si="98"/>
        <v>-1250</v>
      </c>
      <c r="AI461" s="498">
        <f t="shared" si="99"/>
        <v>-1</v>
      </c>
      <c r="AJ461" s="456"/>
      <c r="AK461" s="456"/>
      <c r="AL461" s="457">
        <f>+INDEX('Réel 2024'!$A$2:$AO$501,MATCH($A461,'Réel 2024'!$A$2:$A$501,0),MATCH(F$2,'Réel 2024'!$A$2:$AO$2,0))</f>
        <v>805.57</v>
      </c>
      <c r="AM461" s="461"/>
      <c r="AN461" s="459">
        <f t="shared" si="100"/>
        <v>-805.57</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0.18409123019937373</v>
      </c>
      <c r="Y466" s="472"/>
      <c r="Z466" s="474">
        <f>SUM(Z453:Z465)</f>
        <v>114259.14567409786</v>
      </c>
      <c r="AA466" s="473"/>
      <c r="AB466" s="472"/>
      <c r="AC466" s="474"/>
      <c r="AD466" s="475">
        <f>AF466/AF407</f>
        <v>0.27824788496002012</v>
      </c>
      <c r="AE466" s="472"/>
      <c r="AF466" s="474">
        <f>SUM(AF453:AF465)</f>
        <v>150968.66</v>
      </c>
      <c r="AG466" s="481"/>
      <c r="AH466" s="494">
        <f>SUM(AH453:AH465)</f>
        <v>36709.514325902135</v>
      </c>
      <c r="AI466" s="473">
        <f>IF(Z466=0,0,AH466/Z466)</f>
        <v>0.32128294071626384</v>
      </c>
      <c r="AJ466" s="475">
        <f>IF($AL$407=0,0,AL466/$AL$407)</f>
        <v>0.14050046201178232</v>
      </c>
      <c r="AK466" s="473"/>
      <c r="AL466" s="474">
        <f>SUM(AL453:AL465)</f>
        <v>67547.98000000001</v>
      </c>
      <c r="AM466" s="482"/>
      <c r="AN466" s="477">
        <f>SUM(AN453:AN465)</f>
        <v>83420.680000000008</v>
      </c>
      <c r="AO466" s="495">
        <f t="shared" ref="AO466:AO483" si="101">IF(AL466=0,0,AN466/AL466)</f>
        <v>1.2349840809451296</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1.0732831295803307</v>
      </c>
      <c r="Y468" s="472"/>
      <c r="Z468" s="474">
        <f>Z419+Z433+Z452+Z466</f>
        <v>666150.21975494327</v>
      </c>
      <c r="AA468" s="473"/>
      <c r="AB468" s="472"/>
      <c r="AC468" s="474"/>
      <c r="AD468" s="475">
        <f>AF468/AF407</f>
        <v>1.1850955014122264</v>
      </c>
      <c r="AE468" s="472"/>
      <c r="AF468" s="474">
        <f>AF419+AF433+AF452+AF466</f>
        <v>642996.01</v>
      </c>
      <c r="AG468" s="481"/>
      <c r="AH468" s="494">
        <f t="shared" si="102"/>
        <v>-23154.209754943266</v>
      </c>
      <c r="AI468" s="473">
        <f>AH468/Z468</f>
        <v>-3.4758240811601032E-2</v>
      </c>
      <c r="AJ468" s="475">
        <f>IF($AL$407=0,0,AL468/$AL$407)</f>
        <v>1.119930662456506</v>
      </c>
      <c r="AK468" s="473"/>
      <c r="AL468" s="474">
        <f>AL419+AL433+AL452+AL466</f>
        <v>538425.66</v>
      </c>
      <c r="AM468" s="482"/>
      <c r="AN468" s="477">
        <f t="shared" si="103"/>
        <v>104570.34999999998</v>
      </c>
      <c r="AO468" s="454">
        <f t="shared" si="101"/>
        <v>0.19421501939562089</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24.6</v>
      </c>
      <c r="AG469" s="505"/>
      <c r="AH469" s="459">
        <f t="shared" si="102"/>
        <v>24.6</v>
      </c>
      <c r="AI469" s="498" t="e">
        <f>IF(AH469=0,0,AH469/Z469)</f>
        <v>#DIV/0!</v>
      </c>
      <c r="AJ469" s="504"/>
      <c r="AK469" s="502"/>
      <c r="AL469" s="506">
        <f>+INDEX('Réel 2024'!$A$2:$AO$501,MATCH($A469,'Réel 2024'!$A$2:$A$501,0),MATCH(F$2,'Réel 2024'!$A$2:$AO$2,0))</f>
        <v>26653.53</v>
      </c>
      <c r="AM469" s="507"/>
      <c r="AN469" s="459">
        <f t="shared" si="103"/>
        <v>-26628.93</v>
      </c>
      <c r="AO469" s="466">
        <f t="shared" si="101"/>
        <v>-0.99907704532945552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68211.306354494562</v>
      </c>
      <c r="AA470" s="496"/>
      <c r="AB470" s="459"/>
      <c r="AC470" s="457"/>
      <c r="AD470" s="508"/>
      <c r="AE470" s="509"/>
      <c r="AF470" s="457">
        <f t="shared" ref="AF470:AF476" si="105">+SUMIF($C:$C,$V470,L:L)</f>
        <v>71589</v>
      </c>
      <c r="AG470" s="510"/>
      <c r="AH470" s="459">
        <f t="shared" si="102"/>
        <v>3377.6936455054383</v>
      </c>
      <c r="AI470" s="479">
        <f>IF(Z470=0,0,AH470/Z470)</f>
        <v>4.9518090563337766E-2</v>
      </c>
      <c r="AJ470" s="511"/>
      <c r="AK470" s="496"/>
      <c r="AL470" s="512">
        <f t="shared" ref="AL470:AL479" si="106">+SUMIF($C:$C,$V470,Q:Q)</f>
        <v>47635</v>
      </c>
      <c r="AM470" s="508"/>
      <c r="AN470" s="459">
        <f t="shared" si="103"/>
        <v>23954</v>
      </c>
      <c r="AO470" s="466">
        <f t="shared" si="101"/>
        <v>0.50286554004408524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17400</v>
      </c>
      <c r="AG471" s="510"/>
      <c r="AH471" s="459">
        <f t="shared" si="102"/>
        <v>17400</v>
      </c>
      <c r="AI471" s="479" t="e">
        <f t="shared" ref="AI471:AI480" si="107">IF(AH471=0,0,AH471/Z471)</f>
        <v>#DIV/0!</v>
      </c>
      <c r="AJ471" s="511"/>
      <c r="AK471" s="496"/>
      <c r="AL471" s="512">
        <f t="shared" si="106"/>
        <v>0</v>
      </c>
      <c r="AM471" s="508"/>
      <c r="AN471" s="459">
        <f t="shared" si="103"/>
        <v>17400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38224.199999999997</v>
      </c>
      <c r="AA480" s="496"/>
      <c r="AB480" s="497"/>
      <c r="AC480" s="457"/>
      <c r="AD480" s="513">
        <f>AF480/499</f>
        <v>59.272545090180358</v>
      </c>
      <c r="AE480" s="496">
        <f>(AF480/399)/(J13+J15+J97)</f>
        <v>1.2354636591478696</v>
      </c>
      <c r="AF480" s="457">
        <f>+SUMIF($C:$C,$V480,L:L)</f>
        <v>29577</v>
      </c>
      <c r="AG480" s="510"/>
      <c r="AH480" s="459">
        <f t="shared" si="102"/>
        <v>-8647.1999999999971</v>
      </c>
      <c r="AI480" s="479">
        <f t="shared" si="107"/>
        <v>-0.2262231779867204</v>
      </c>
      <c r="AJ480" s="511"/>
      <c r="AK480" s="496"/>
      <c r="AL480" s="512">
        <f>+INDEX('Réel 2024'!$A$2:$AO$501,MATCH($A480,'Réel 2024'!$A$2:$A$501,0),MATCH(F$2,'Réel 2024'!$A$2:$AO$2,0))</f>
        <v>24144</v>
      </c>
      <c r="AM480" s="508"/>
      <c r="AN480" s="459">
        <f t="shared" si="103"/>
        <v>5433</v>
      </c>
      <c r="AO480" s="466">
        <f t="shared" si="101"/>
        <v>0.2250248508946322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0.17148599515683247</v>
      </c>
      <c r="Y481" s="493"/>
      <c r="Z481" s="474">
        <f>SUM(Z469:Z480)</f>
        <v>106435.50635449456</v>
      </c>
      <c r="AA481" s="473"/>
      <c r="AB481" s="493"/>
      <c r="AC481" s="474"/>
      <c r="AD481" s="473">
        <f>AF481/+AF407</f>
        <v>0.21857240851273213</v>
      </c>
      <c r="AE481" s="493"/>
      <c r="AF481" s="474">
        <f>SUM(AF469:AF480)</f>
        <v>118590.6</v>
      </c>
      <c r="AG481" s="481"/>
      <c r="AH481" s="477">
        <f t="shared" si="102"/>
        <v>12155.093645505447</v>
      </c>
      <c r="AI481" s="473">
        <f>AH481/Z481</f>
        <v>0.11420149216955515</v>
      </c>
      <c r="AJ481" s="514"/>
      <c r="AK481" s="515"/>
      <c r="AL481" s="474">
        <f>SUM(AL469:AL480)</f>
        <v>98432.53</v>
      </c>
      <c r="AM481" s="516"/>
      <c r="AN481" s="477">
        <f t="shared" si="103"/>
        <v>20158.070000000007</v>
      </c>
      <c r="AO481" s="495">
        <f t="shared" si="101"/>
        <v>0.20479073330737316</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1.4007886724083396E-2</v>
      </c>
      <c r="Z483" s="534">
        <f>Z407-Z468+Z481</f>
        <v>60951.168132057719</v>
      </c>
      <c r="AA483" s="532"/>
      <c r="AB483" s="533"/>
      <c r="AC483" s="534"/>
      <c r="AD483" s="532" t="s">
        <v>219</v>
      </c>
      <c r="AE483" s="533">
        <f>AF483/AF406</f>
        <v>4.2887767211321386E-3</v>
      </c>
      <c r="AF483" s="535">
        <f>AF407-AF468+AF481</f>
        <v>18163.529999999824</v>
      </c>
      <c r="AG483" s="536"/>
      <c r="AH483" s="536">
        <f>AF483-Z483</f>
        <v>-42787.638132057895</v>
      </c>
      <c r="AI483" s="537">
        <f>AH483/Z483</f>
        <v>-0.70199865635640568</v>
      </c>
      <c r="AJ483" s="538" t="s">
        <v>219</v>
      </c>
      <c r="AK483" s="533">
        <f>IF($AL$406=0,0,AL483/$AL$406)</f>
        <v>1.1754742194385635E-2</v>
      </c>
      <c r="AL483" s="535">
        <f>AL407-AL468+AL481</f>
        <v>40773.829999999522</v>
      </c>
      <c r="AM483" s="539"/>
      <c r="AN483" s="535">
        <f t="shared" si="103"/>
        <v>-22610.299999999697</v>
      </c>
      <c r="AO483" s="540">
        <f t="shared" si="101"/>
        <v>-0.55452970692230685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Février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1.892854150878839E-2</v>
      </c>
      <c r="Z488" s="1129">
        <f>Z489+Z415</f>
        <v>82361.939293329619</v>
      </c>
      <c r="AA488" s="1127"/>
      <c r="AB488" s="1128"/>
      <c r="AC488" s="534"/>
      <c r="AD488" s="1127" t="s">
        <v>219</v>
      </c>
      <c r="AE488" s="1128">
        <f>AF488/AF406</f>
        <v>9.9849338534346733E-3</v>
      </c>
      <c r="AF488" s="1129">
        <f>AF489+AF415</f>
        <v>42287.499999999825</v>
      </c>
      <c r="AG488" s="536"/>
      <c r="AH488" s="536">
        <f t="shared" ref="AH488" si="108">AF488-Z488</f>
        <v>-40074.439293329793</v>
      </c>
      <c r="AI488" s="537">
        <f>AH488/Z488</f>
        <v>-0.48656502793852219</v>
      </c>
      <c r="AJ488" s="1127" t="s">
        <v>219</v>
      </c>
      <c r="AK488" s="1128">
        <f>IF($AL$406=0,0,AL488/$AL$406)</f>
        <v>9.1039869035007513E-3</v>
      </c>
      <c r="AL488" s="1129">
        <f>AL489+AL415</f>
        <v>31579.119999999522</v>
      </c>
      <c r="AM488" s="539"/>
      <c r="AN488" s="1129">
        <f t="shared" ref="AN488" si="109">AF488-AL488</f>
        <v>10708.380000000303</v>
      </c>
      <c r="AO488" s="1130">
        <f t="shared" ref="AO488" si="110">IF(AL488=0,0,AN488/AL488)</f>
        <v>0.33909684627058845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1.4007886724083396E-2</v>
      </c>
      <c r="Z489" s="534">
        <f>Z483</f>
        <v>60951.168132057719</v>
      </c>
      <c r="AA489" s="532"/>
      <c r="AB489" s="533"/>
      <c r="AC489" s="534"/>
      <c r="AD489" s="532" t="s">
        <v>219</v>
      </c>
      <c r="AE489" s="533">
        <f>AF489/AF406</f>
        <v>4.2887767211321386E-3</v>
      </c>
      <c r="AF489" s="534">
        <f>AF483</f>
        <v>18163.529999999824</v>
      </c>
      <c r="AG489" s="535"/>
      <c r="AH489" s="536">
        <f>AF489-Z489</f>
        <v>-42787.638132057895</v>
      </c>
      <c r="AI489" s="537">
        <f>AH489/Z489</f>
        <v>-0.70199865635640568</v>
      </c>
      <c r="AJ489" s="532" t="s">
        <v>219</v>
      </c>
      <c r="AK489" s="533">
        <f>IF($AL$406=0,0,AL489/$AL$406)</f>
        <v>1.1754742194385635E-2</v>
      </c>
      <c r="AL489" s="543">
        <f>AL483</f>
        <v>40773.829999999522</v>
      </c>
      <c r="AM489" s="544"/>
      <c r="AN489" s="545">
        <f>AF489-AL489</f>
        <v>-22610.299999999697</v>
      </c>
      <c r="AO489" s="546">
        <f>IF(AL489=0,0,AN489/AL489)</f>
        <v>-0.55452970692230685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21977.26</v>
      </c>
      <c r="AG493" s="38"/>
      <c r="AH493" s="459">
        <f t="shared" si="111"/>
        <v>21977.26</v>
      </c>
      <c r="AI493" s="479">
        <f t="shared" si="112"/>
        <v>0</v>
      </c>
      <c r="AJ493" s="38"/>
      <c r="AK493" s="38"/>
      <c r="AL493" s="457">
        <f>+INDEX('Réel 2024'!$A$2:$AO$501,MATCH($A493,'Réel 2024'!$A$2:$A$501,0),MATCH(F$2,'Réel 2024'!$A$2:$AO$2,0))</f>
        <v>0</v>
      </c>
      <c r="AM493" s="551"/>
      <c r="AN493" s="459">
        <f t="shared" si="113"/>
        <v>21977.26</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0</v>
      </c>
      <c r="AG496" s="458"/>
      <c r="AH496" s="459">
        <f t="shared" si="111"/>
        <v>0</v>
      </c>
      <c r="AI496" s="460">
        <f t="shared" si="112"/>
        <v>0</v>
      </c>
      <c r="AJ496" s="465"/>
      <c r="AK496" s="456"/>
      <c r="AL496" s="457">
        <f>+INDEX('Réel 2024'!$A$2:$AO$501,MATCH($A496,'Réel 2024'!$A$2:$A$501,0),MATCH(F$2,'Réel 2024'!$A$2:$AO$2,0))</f>
        <v>-1079</v>
      </c>
      <c r="AM496" s="551"/>
      <c r="AN496" s="459">
        <f t="shared" si="113"/>
        <v>1079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1.1820752453437444E-2</v>
      </c>
      <c r="Z498" s="534">
        <f>Z489-Z491-Z492-Z493-Z497-Z496</f>
        <v>51434.501465391055</v>
      </c>
      <c r="AA498" s="532"/>
      <c r="AB498" s="533"/>
      <c r="AC498" s="534"/>
      <c r="AD498" s="532" t="s">
        <v>219</v>
      </c>
      <c r="AE498" s="533">
        <f>AF498/AF406</f>
        <v>-3.1476549161808926E-3</v>
      </c>
      <c r="AF498" s="535">
        <f>AF489-AF491-AF492-AF493-AF497-AF496</f>
        <v>-13330.730000000174</v>
      </c>
      <c r="AG498" s="536"/>
      <c r="AH498" s="536">
        <f t="shared" si="111"/>
        <v>-64765.231465391233</v>
      </c>
      <c r="AI498" s="537">
        <f>AH498/Z498</f>
        <v>-1.2591787539531238</v>
      </c>
      <c r="AJ498" s="538" t="s">
        <v>219</v>
      </c>
      <c r="AK498" s="533">
        <f>IF($AL$406=0,0,AL498/$AL$406)</f>
        <v>-2.2924062690984288E-4</v>
      </c>
      <c r="AL498" s="535">
        <f>AL489-AL491-AL492-AL493-AL497-AL496</f>
        <v>-795.17000000047847</v>
      </c>
      <c r="AM498" s="539"/>
      <c r="AN498" s="535">
        <f t="shared" si="113"/>
        <v>-12535.559999999696</v>
      </c>
      <c r="AO498" s="553">
        <f t="shared" si="114"/>
        <v>15.764628947259268</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7"/>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7"/>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7"/>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06" customWidth="1"/>
    <col min="2" max="2" width="11" style="1111"/>
    <col min="3" max="3" width="23" style="1112" customWidth="1"/>
    <col min="4" max="4" width="11.625" style="1112" customWidth="1"/>
    <col min="5" max="5" width="16" style="1112" customWidth="1"/>
    <col min="6" max="6" width="18.125" style="1112" bestFit="1" customWidth="1"/>
    <col min="7" max="7" width="10.875" style="1113" bestFit="1" customWidth="1"/>
    <col min="8" max="8" width="12.125" style="1112" customWidth="1"/>
    <col min="9" max="9" width="16.875" style="1112" customWidth="1"/>
    <col min="10" max="10" width="25.5" style="1114" customWidth="1"/>
    <col min="11" max="16384" width="11" style="1106"/>
  </cols>
  <sheetData>
    <row r="1" spans="2:10" ht="20.25">
      <c r="B1" s="1308" t="s">
        <v>3898</v>
      </c>
      <c r="C1" s="1309"/>
      <c r="D1" s="1309"/>
      <c r="E1" s="1309"/>
      <c r="F1" s="1309"/>
      <c r="G1" s="1309"/>
      <c r="H1" s="1309"/>
      <c r="I1" s="1309"/>
      <c r="J1" s="1310"/>
    </row>
    <row r="2" spans="2:10" ht="15">
      <c r="B2" s="1107" t="s">
        <v>3899</v>
      </c>
      <c r="C2" s="1108" t="s">
        <v>257</v>
      </c>
      <c r="D2" s="1108" t="s">
        <v>9</v>
      </c>
      <c r="E2" s="1108" t="s">
        <v>253</v>
      </c>
      <c r="F2" s="1108" t="s">
        <v>254</v>
      </c>
      <c r="G2" s="1109" t="s">
        <v>3900</v>
      </c>
      <c r="H2" s="1108" t="s">
        <v>3901</v>
      </c>
      <c r="I2" s="1108" t="s">
        <v>3902</v>
      </c>
      <c r="J2" s="1110" t="s">
        <v>3903</v>
      </c>
    </row>
    <row r="3" spans="2:10">
      <c r="C3" s="1138"/>
      <c r="E3" s="1138"/>
      <c r="F3" s="1138"/>
      <c r="H3" s="1119" t="s">
        <v>3908</v>
      </c>
      <c r="I3" s="1119" t="s">
        <v>3907</v>
      </c>
      <c r="J3" s="1120" t="s">
        <v>3910</v>
      </c>
    </row>
    <row r="4" spans="2:10">
      <c r="C4" s="1138"/>
      <c r="E4" s="1138"/>
      <c r="F4" s="1138"/>
      <c r="H4" s="1141" t="s">
        <v>3937</v>
      </c>
      <c r="I4" s="1141" t="s">
        <v>3938</v>
      </c>
      <c r="J4" s="1142" t="s">
        <v>3939</v>
      </c>
    </row>
    <row r="5" spans="2:10">
      <c r="C5" s="1138"/>
      <c r="E5" s="1138"/>
      <c r="F5" s="1138"/>
      <c r="H5" s="1133" t="s">
        <v>3914</v>
      </c>
      <c r="I5" s="1133" t="s">
        <v>3915</v>
      </c>
      <c r="J5" s="1134" t="s">
        <v>3916</v>
      </c>
    </row>
    <row r="6" spans="2:10">
      <c r="C6" s="1140"/>
      <c r="E6" s="1138"/>
      <c r="F6" s="1138"/>
      <c r="H6" s="1140" t="s">
        <v>3924</v>
      </c>
      <c r="I6" s="1140" t="s">
        <v>3925</v>
      </c>
      <c r="J6" s="1120" t="s">
        <v>3909</v>
      </c>
    </row>
    <row r="7" spans="2:10">
      <c r="C7" s="1140"/>
      <c r="E7" s="1138"/>
      <c r="F7" s="1140"/>
      <c r="H7" s="1119" t="s">
        <v>3912</v>
      </c>
      <c r="I7" s="1119" t="s">
        <v>3911</v>
      </c>
      <c r="J7" s="1120"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3" workbookViewId="0">
      <selection activeCell="C31" sqref="C31"/>
    </sheetView>
  </sheetViews>
  <sheetFormatPr baseColWidth="10" defaultColWidth="11" defaultRowHeight="14.25"/>
  <cols>
    <col min="1" max="1" width="4.75" style="1023" customWidth="1"/>
    <col min="2" max="2" width="5.5" style="1023" customWidth="1"/>
    <col min="3" max="3" width="20" style="1023" customWidth="1"/>
    <col min="4" max="4" width="1.75" style="1023" customWidth="1"/>
    <col min="5" max="7" width="11.125" style="1026" customWidth="1"/>
    <col min="8" max="8" width="8" style="1026" customWidth="1"/>
    <col min="9" max="9" width="1.75" style="1026" customWidth="1"/>
    <col min="10" max="12" width="11.125" style="1026" customWidth="1"/>
    <col min="13" max="13" width="8" style="1026" customWidth="1"/>
    <col min="14" max="14" width="11" style="1023"/>
    <col min="15" max="15" width="10" style="1023" customWidth="1"/>
    <col min="16" max="16" width="11" style="1023"/>
    <col min="17" max="17" width="6.375" style="1023" customWidth="1"/>
    <col min="18" max="16384" width="11" style="1023"/>
  </cols>
  <sheetData>
    <row r="1" spans="1:17" ht="30.75" customHeight="1">
      <c r="C1" s="1313" t="str">
        <f>"Analyse Wholesale "&amp;Parametres!B1</f>
        <v>Analyse Wholesale Volks</v>
      </c>
      <c r="D1" s="1313"/>
      <c r="E1" s="1313"/>
      <c r="F1" s="1313"/>
      <c r="G1" s="1313"/>
      <c r="H1" s="1313"/>
      <c r="I1" s="1313"/>
      <c r="J1" s="1313"/>
      <c r="K1" s="1313"/>
      <c r="L1" s="1024"/>
      <c r="M1" s="1024"/>
      <c r="N1" s="1025"/>
      <c r="O1" s="1025"/>
      <c r="P1" s="1025"/>
      <c r="Q1" s="1025"/>
    </row>
    <row r="2" spans="1:17" ht="14.25" hidden="1" customHeight="1">
      <c r="D2" s="1023" t="s">
        <v>303</v>
      </c>
      <c r="F2" s="1026" t="s">
        <v>338</v>
      </c>
      <c r="G2" s="1026" t="s">
        <v>340</v>
      </c>
      <c r="L2" s="1026" t="s">
        <v>303</v>
      </c>
      <c r="N2" s="1023" t="s">
        <v>338</v>
      </c>
      <c r="O2" s="1023" t="s">
        <v>340</v>
      </c>
    </row>
    <row r="4" spans="1:17" ht="15" customHeight="1">
      <c r="A4" s="1027"/>
      <c r="B4" s="1027"/>
      <c r="E4" s="1314" t="str">
        <f>CONCATENATE("Pièces Wholesale ",Parametres!B3," ",Parametres!B4)</f>
        <v>Pièces Wholesale Février 2026</v>
      </c>
      <c r="F4" s="1315"/>
      <c r="G4" s="1315"/>
      <c r="H4" s="1316"/>
      <c r="J4" s="1317" t="str">
        <f>CONCATENATE("Pièces Wholesale AAD ",Parametres!B4)</f>
        <v>Pièces Wholesale AAD 2026</v>
      </c>
      <c r="K4" s="1318"/>
      <c r="L4" s="1318"/>
      <c r="M4" s="1319"/>
    </row>
    <row r="5" spans="1:17" ht="15">
      <c r="A5" s="1027"/>
      <c r="B5" s="1027"/>
      <c r="C5" s="1030"/>
      <c r="D5" s="1031"/>
      <c r="E5" s="1028" t="s">
        <v>656</v>
      </c>
      <c r="F5" s="1029" t="s">
        <v>3863</v>
      </c>
      <c r="G5" s="1028" t="s">
        <v>3864</v>
      </c>
      <c r="H5" s="1029" t="s">
        <v>3865</v>
      </c>
      <c r="J5" s="1028" t="s">
        <v>656</v>
      </c>
      <c r="K5" s="1029" t="s">
        <v>3863</v>
      </c>
      <c r="L5" s="1028" t="s">
        <v>3864</v>
      </c>
      <c r="M5" s="1029" t="s">
        <v>3865</v>
      </c>
    </row>
    <row r="6" spans="1:17" ht="15">
      <c r="A6" s="1027"/>
      <c r="B6" s="1027"/>
      <c r="C6" s="1032" t="s">
        <v>3866</v>
      </c>
      <c r="D6" s="1033"/>
      <c r="E6" s="1034">
        <f>SUMIF(A37:A48,"X",E37:E48)</f>
        <v>433</v>
      </c>
      <c r="F6" s="1035">
        <f>SUMIF(A37:A48,"X",F37:F48)</f>
        <v>311.9435150172892</v>
      </c>
      <c r="G6" s="1034">
        <f>E6-F6</f>
        <v>121.0564849827108</v>
      </c>
      <c r="H6" s="1036">
        <f>G6/F6</f>
        <v>0.38807181157781512</v>
      </c>
      <c r="J6" s="1034">
        <f>SUMIF($B$37:$B$48,"X",$E$37:$E$48)</f>
        <v>966</v>
      </c>
      <c r="K6" s="1035">
        <f>SUMIF($B$37:$B$48,"X",$F$37:$F$48)</f>
        <v>730.86558406647328</v>
      </c>
      <c r="L6" s="1034">
        <f>J6-K6</f>
        <v>235.13441593352672</v>
      </c>
      <c r="M6" s="1036">
        <f>L6/K6</f>
        <v>0.32172046551331512</v>
      </c>
    </row>
    <row r="7" spans="1:17">
      <c r="A7" s="1037" t="str">
        <f>B7&amp;C7</f>
        <v>piècesVentes de Gros</v>
      </c>
      <c r="B7" s="1037" t="s">
        <v>3867</v>
      </c>
      <c r="C7" s="1038" t="s">
        <v>187</v>
      </c>
      <c r="D7" s="1039"/>
      <c r="E7" s="1040">
        <f>-SUMIFS(BV_Data_An_Cour!$O:$O,BV_Data_An_Cour!$X:$X,"Oui",BV_Data_An_Cour!$U:$U,$B7,BV_Data_An_Cour!$V:$V,$C7)</f>
        <v>204248.82</v>
      </c>
      <c r="F7" s="1041">
        <f>+INDEX('Budget original'!$A$2:$AO$501,MATCH($A7,'Budget original'!$A$2:$A$501,0),MATCH(F$2,'Budget original'!$A$2:$AO$2,0))</f>
        <v>169290.82542283507</v>
      </c>
      <c r="G7" s="1042">
        <f>E7-F7</f>
        <v>34957.994577164936</v>
      </c>
      <c r="H7" s="1043">
        <f>G7/F7</f>
        <v>0.20649668692825435</v>
      </c>
      <c r="J7" s="1040">
        <f>-SUMIFS(BV_Data_An_Cour!$P:$P,BV_Data_An_Cour!$X:$X,"Oui",BV_Data_An_Cour!$U:$U,$B7,BV_Data_An_Cour!$V:$V,$C7)</f>
        <v>479293.16</v>
      </c>
      <c r="K7" s="1041" cm="1">
        <f t="array" ref="K7">+SUMPRODUCT(('Budget original'!$A$8:$A$501=$A7)*('Budget original'!$C$3:$AO$3=N$2),'Budget original'!$C$8:$AO$501)</f>
        <v>337776.5603363791</v>
      </c>
      <c r="L7" s="1042">
        <f t="shared" ref="L7:L10" si="0">J7-K7</f>
        <v>141516.59966362087</v>
      </c>
      <c r="M7" s="1043">
        <f>L7/K7</f>
        <v>0.4189651274875017</v>
      </c>
    </row>
    <row r="8" spans="1:17">
      <c r="A8" s="1037"/>
      <c r="B8" s="1037"/>
      <c r="C8" s="1044" t="s">
        <v>3868</v>
      </c>
      <c r="D8" s="1039"/>
      <c r="E8" s="1045">
        <f>E7-E9</f>
        <v>168026.57</v>
      </c>
      <c r="F8" s="1046">
        <f>F7-F9</f>
        <v>142885.28399075233</v>
      </c>
      <c r="G8" s="1040">
        <f t="shared" ref="G8:G15" si="1">E8-F8</f>
        <v>25141.286009247677</v>
      </c>
      <c r="H8" s="1047">
        <f t="shared" ref="H8:H9" si="2">G8/F8</f>
        <v>0.17595434118236308</v>
      </c>
      <c r="J8" s="1045">
        <f>J7-J9</f>
        <v>395231.94</v>
      </c>
      <c r="K8" s="1046">
        <f>K7-K9</f>
        <v>284611.04469096794</v>
      </c>
      <c r="L8" s="1040">
        <f t="shared" si="0"/>
        <v>110620.89530903206</v>
      </c>
      <c r="M8" s="1047">
        <f t="shared" ref="M8:M9" si="3">L8/K8</f>
        <v>0.38867393719433752</v>
      </c>
    </row>
    <row r="9" spans="1:17" ht="15">
      <c r="C9" s="1048" t="s">
        <v>202</v>
      </c>
      <c r="D9" s="1039"/>
      <c r="E9" s="1049">
        <f>E12+E11</f>
        <v>36222.25</v>
      </c>
      <c r="F9" s="1050">
        <f>F12+F11</f>
        <v>26405.541432082733</v>
      </c>
      <c r="G9" s="1049">
        <f t="shared" si="1"/>
        <v>9816.7085679172669</v>
      </c>
      <c r="H9" s="1047">
        <f t="shared" si="2"/>
        <v>0.37176698660645396</v>
      </c>
      <c r="J9" s="1049">
        <f>J12+J11</f>
        <v>84061.219999999972</v>
      </c>
      <c r="K9" s="1050">
        <f>K12+K11</f>
        <v>53165.515645411178</v>
      </c>
      <c r="L9" s="1049">
        <f t="shared" si="0"/>
        <v>30895.704354588794</v>
      </c>
      <c r="M9" s="1047">
        <f t="shared" si="3"/>
        <v>0.5811230076399243</v>
      </c>
    </row>
    <row r="10" spans="1:17">
      <c r="A10" s="1037"/>
      <c r="B10" s="1037"/>
      <c r="C10" s="1044" t="s">
        <v>3869</v>
      </c>
      <c r="D10" s="1039"/>
      <c r="E10" s="1051">
        <f>E9/E7</f>
        <v>0.17734374181451817</v>
      </c>
      <c r="F10" s="1052">
        <f>F9/F7</f>
        <v>0.15597739195925131</v>
      </c>
      <c r="G10" s="1051">
        <f t="shared" si="1"/>
        <v>2.1366349855266864E-2</v>
      </c>
      <c r="H10" s="1047"/>
      <c r="J10" s="1051">
        <f>J9/J7</f>
        <v>0.1753858118901592</v>
      </c>
      <c r="K10" s="1052">
        <f>K9/K7</f>
        <v>0.15739847546693478</v>
      </c>
      <c r="L10" s="1051">
        <f t="shared" si="0"/>
        <v>1.798733642322442E-2</v>
      </c>
      <c r="M10" s="1047"/>
    </row>
    <row r="11" spans="1:17">
      <c r="A11" s="1037"/>
      <c r="B11" s="1037"/>
      <c r="C11" s="1053" t="s">
        <v>3870</v>
      </c>
      <c r="D11" s="1039"/>
      <c r="E11" s="1042">
        <f>SUMIFS(BV_Data_An_Cour!$O:$O,BV_Data_An_Cour!$W:$W,$D$2,BV_Data_An_Cour!L:L,C31)</f>
        <v>5992.29</v>
      </c>
      <c r="F11" s="1054">
        <f>SUMIF($A$37:$A$48,"X",$G$37:$G$48)</f>
        <v>3551.28</v>
      </c>
      <c r="G11" s="1042">
        <f t="shared" si="1"/>
        <v>2441.0099999999998</v>
      </c>
      <c r="H11" s="1043">
        <f t="shared" ref="H11:H12" si="4">G11/F11</f>
        <v>0.68736061363789946</v>
      </c>
      <c r="J11" s="1042">
        <f>SUMIFS(BV_Data_An_Cour!$P:$P,BV_Data_An_Cour!$W:$W,$L$2,BV_Data_An_Cour!T:T,C31)</f>
        <v>11732.49</v>
      </c>
      <c r="K11" s="1054">
        <f>SUMIF($B$37:$B$48,"X",$G$37:$G$48)</f>
        <v>7565.68</v>
      </c>
      <c r="L11" s="1042">
        <f>J11-K11</f>
        <v>4166.8099999999995</v>
      </c>
      <c r="M11" s="1043">
        <f t="shared" ref="M11:M12" si="5">L11/K11</f>
        <v>0.5507515517441921</v>
      </c>
    </row>
    <row r="12" spans="1:17" ht="15">
      <c r="A12" s="1055" t="s">
        <v>187</v>
      </c>
      <c r="B12" s="1037" t="s">
        <v>3867</v>
      </c>
      <c r="C12" s="1048" t="s">
        <v>3871</v>
      </c>
      <c r="D12" s="1039"/>
      <c r="E12" s="1049">
        <f>-SUMIFS(BV_Data_An_Cour!$O:$O,BV_Data_An_Cour!$U:$U,$B12,BV_Data_An_Cour!$V:$V,$A12,BV_Data_An_Cour!$W:$W,$D$2)</f>
        <v>30229.96</v>
      </c>
      <c r="F12" s="1050">
        <f>+INDEX('Budget original'!$A$2:$AO$501,MATCH(B12&amp;$A12,'Budget original'!$A$2:$A$501,0),MATCH(G$2,'Budget original'!$A$2:$AO$2,0))</f>
        <v>22854.261432082734</v>
      </c>
      <c r="G12" s="1049">
        <f t="shared" si="1"/>
        <v>7375.6985679172649</v>
      </c>
      <c r="H12" s="1047">
        <f t="shared" si="4"/>
        <v>0.3227274961317842</v>
      </c>
      <c r="J12" s="1049">
        <f>-SUMIFS(BV_Data_An_Cour!$P:$P,BV_Data_An_Cour!$U:$U,$B12,BV_Data_An_Cour!$V:$V,$A12,BV_Data_An_Cour!$W:$W,$D$2)</f>
        <v>72328.729999999967</v>
      </c>
      <c r="K12" s="1050" cm="1">
        <f t="array" ref="K12">+SUMPRODUCT(('Budget original'!$A$8:$A$501=B12&amp;$A12)*('Budget original'!$C$3:$AO$3=O$2),'Budget original'!$C$8:$AO$501)</f>
        <v>45599.835645411178</v>
      </c>
      <c r="L12" s="1049">
        <f t="shared" ref="L12:L16" si="6">J12-K12</f>
        <v>26728.894354588789</v>
      </c>
      <c r="M12" s="1047">
        <f t="shared" si="5"/>
        <v>0.58616207660122521</v>
      </c>
    </row>
    <row r="13" spans="1:17">
      <c r="A13" s="1027"/>
      <c r="B13" s="1027"/>
      <c r="C13" s="1044" t="s">
        <v>119</v>
      </c>
      <c r="D13" s="1039"/>
      <c r="E13" s="1051">
        <f>(E12)/E7</f>
        <v>0.14800555518509237</v>
      </c>
      <c r="F13" s="1052">
        <f>(F12)/F7</f>
        <v>0.13500000000000001</v>
      </c>
      <c r="G13" s="1056">
        <f t="shared" si="1"/>
        <v>1.300555518509236E-2</v>
      </c>
      <c r="H13" s="1057"/>
      <c r="J13" s="1051">
        <f>(J12)/J7</f>
        <v>0.15090707741374815</v>
      </c>
      <c r="K13" s="1052">
        <f>(K12)/K7</f>
        <v>0.13500000000000001</v>
      </c>
      <c r="L13" s="1056">
        <f t="shared" si="6"/>
        <v>1.5907077413748139E-2</v>
      </c>
      <c r="M13" s="1057"/>
    </row>
    <row r="14" spans="1:17">
      <c r="A14" s="1027"/>
      <c r="B14" s="1027"/>
      <c r="C14" s="1053" t="s">
        <v>3872</v>
      </c>
      <c r="D14" s="1039"/>
      <c r="E14" s="1042">
        <f>SUMIFS(BV_Data_An_Cour!$O:$O,BV_Data_An_Cour!$W:$W,$D$2,BV_Data_An_Cour!L:L,C33)</f>
        <v>1948.26</v>
      </c>
      <c r="F14" s="1058">
        <f>SUMIF(A37:A48,"X",F37:F48)*$G$33</f>
        <v>6238.870300345784</v>
      </c>
      <c r="G14" s="1040">
        <f>E14-F14</f>
        <v>-4290.6103003457838</v>
      </c>
      <c r="H14" s="1047">
        <f t="shared" ref="H14:H15" si="7">G14/F14</f>
        <v>-0.68772231089785285</v>
      </c>
      <c r="J14" s="1042">
        <f>SUMIFS(BV_Data_An_Cour!$P:$P,BV_Data_An_Cour!$W:$W,$L$2,BV_Data_An_Cour!T:T,C33)</f>
        <v>14768.26</v>
      </c>
      <c r="K14" s="1058">
        <f>SUMIF(B37:B48,"X",F37:F48)*$G$33</f>
        <v>14617.311681329466</v>
      </c>
      <c r="L14" s="1040">
        <f t="shared" si="6"/>
        <v>150.94831867053472</v>
      </c>
      <c r="M14" s="1047">
        <f t="shared" ref="M14:M15" si="8">L14/K14</f>
        <v>1.0326681264061666E-2</v>
      </c>
    </row>
    <row r="15" spans="1:17" ht="15">
      <c r="C15" s="1048" t="s">
        <v>3873</v>
      </c>
      <c r="D15" s="1039"/>
      <c r="E15" s="1049">
        <f>E12-E14</f>
        <v>28281.7</v>
      </c>
      <c r="F15" s="1050">
        <f t="shared" ref="F15" si="9">F12-F14</f>
        <v>16615.391131736949</v>
      </c>
      <c r="G15" s="1049">
        <f t="shared" si="1"/>
        <v>11666.308868263051</v>
      </c>
      <c r="H15" s="1047">
        <f t="shared" si="7"/>
        <v>0.70213868429370352</v>
      </c>
      <c r="J15" s="1049">
        <f t="shared" ref="J15:K15" si="10">J12-J14</f>
        <v>57560.469999999965</v>
      </c>
      <c r="K15" s="1050">
        <f t="shared" si="10"/>
        <v>30982.523964081713</v>
      </c>
      <c r="L15" s="1049">
        <f t="shared" si="6"/>
        <v>26577.946035918252</v>
      </c>
      <c r="M15" s="1047">
        <f t="shared" si="8"/>
        <v>0.85783669744693092</v>
      </c>
    </row>
    <row r="16" spans="1:17">
      <c r="C16" s="1059" t="s">
        <v>3874</v>
      </c>
      <c r="D16" s="1060"/>
      <c r="E16" s="1056">
        <f>E15/E7</f>
        <v>0.13846689542686219</v>
      </c>
      <c r="F16" s="1061">
        <f>F15/F7</f>
        <v>9.8147026516274258E-2</v>
      </c>
      <c r="G16" s="1056">
        <f>E16-F16</f>
        <v>4.0319868910587933E-2</v>
      </c>
      <c r="H16" s="1061"/>
      <c r="J16" s="1056">
        <f>J15/J7</f>
        <v>0.12009449498507337</v>
      </c>
      <c r="K16" s="1061">
        <f>K15/K7</f>
        <v>9.1724908126328747E-2</v>
      </c>
      <c r="L16" s="1056">
        <f t="shared" si="6"/>
        <v>2.8369586858744619E-2</v>
      </c>
      <c r="M16" s="1062"/>
    </row>
    <row r="17" spans="3:13">
      <c r="C17" s="1063"/>
      <c r="G17" s="1064"/>
      <c r="K17" s="1064"/>
    </row>
    <row r="18" spans="3:13" ht="15">
      <c r="E18" s="1314" t="str">
        <f>CONCATENATE("Pièces Wholesale $ / livraison ",Parametres!B3," ",Parametres!B4)</f>
        <v>Pièces Wholesale $ / livraison Février 2026</v>
      </c>
      <c r="F18" s="1315"/>
      <c r="G18" s="1315"/>
      <c r="H18" s="1316"/>
      <c r="J18" s="1317" t="str">
        <f>CONCATENATE("Pièces Wholesale AAD $ / livraison ",Parametres!B4)</f>
        <v>Pièces Wholesale AAD $ / livraison 2026</v>
      </c>
      <c r="K18" s="1318"/>
      <c r="L18" s="1318"/>
      <c r="M18" s="1319"/>
    </row>
    <row r="19" spans="3:13" ht="15">
      <c r="C19" s="1030"/>
      <c r="D19" s="1031"/>
      <c r="E19" s="1028" t="s">
        <v>656</v>
      </c>
      <c r="F19" s="1029" t="s">
        <v>3863</v>
      </c>
      <c r="G19" s="1028" t="s">
        <v>3864</v>
      </c>
      <c r="H19" s="1029" t="s">
        <v>3865</v>
      </c>
      <c r="J19" s="1028" t="s">
        <v>656</v>
      </c>
      <c r="K19" s="1029" t="s">
        <v>3863</v>
      </c>
      <c r="L19" s="1028" t="s">
        <v>3864</v>
      </c>
      <c r="M19" s="1029" t="s">
        <v>3865</v>
      </c>
    </row>
    <row r="20" spans="3:13">
      <c r="C20" s="1038" t="s">
        <v>187</v>
      </c>
      <c r="D20" s="1039"/>
      <c r="E20" s="1040">
        <f>E7/E$6</f>
        <v>471.7062817551963</v>
      </c>
      <c r="F20" s="1041">
        <f>F7/F$6</f>
        <v>542.69705018055038</v>
      </c>
      <c r="G20" s="1042">
        <f t="shared" ref="G20:G25" si="11">E20-F20</f>
        <v>-70.990768425354076</v>
      </c>
      <c r="H20" s="1043">
        <f t="shared" ref="H20:H26" si="12">G20/F20</f>
        <v>-0.13081104531844442</v>
      </c>
      <c r="J20" s="1040">
        <f>J7/J$6</f>
        <v>496.16269151138715</v>
      </c>
      <c r="K20" s="1041">
        <f>K7/K$6</f>
        <v>462.15961963487098</v>
      </c>
      <c r="L20" s="1042">
        <f t="shared" ref="L20:L25" si="13">J20-K20</f>
        <v>34.003071876516174</v>
      </c>
      <c r="M20" s="1043">
        <f t="shared" ref="M20:M26" si="14">L20/K20</f>
        <v>7.3574302972164218E-2</v>
      </c>
    </row>
    <row r="21" spans="3:13">
      <c r="C21" s="1044" t="s">
        <v>3868</v>
      </c>
      <c r="D21" s="1039"/>
      <c r="E21" s="1045">
        <f t="shared" ref="E21:F22" si="15">E8/E$6</f>
        <v>388.05212471131642</v>
      </c>
      <c r="F21" s="1046">
        <f>F8/F$6</f>
        <v>458.04857966940915</v>
      </c>
      <c r="G21" s="1040">
        <f t="shared" si="11"/>
        <v>-69.996454958092727</v>
      </c>
      <c r="H21" s="1047">
        <f t="shared" si="12"/>
        <v>-0.15281447877998397</v>
      </c>
      <c r="J21" s="1045">
        <f t="shared" ref="J21:K22" si="16">J8/J$6</f>
        <v>409.14279503105593</v>
      </c>
      <c r="K21" s="1046">
        <f t="shared" si="16"/>
        <v>389.41640008196384</v>
      </c>
      <c r="L21" s="1040">
        <f t="shared" si="13"/>
        <v>19.726394949092082</v>
      </c>
      <c r="M21" s="1047">
        <f t="shared" si="14"/>
        <v>5.0656302469387772E-2</v>
      </c>
    </row>
    <row r="22" spans="3:13" ht="15">
      <c r="C22" s="1048" t="s">
        <v>202</v>
      </c>
      <c r="D22" s="1039"/>
      <c r="E22" s="1049">
        <f>E9/E$6</f>
        <v>83.654157043879906</v>
      </c>
      <c r="F22" s="1050">
        <f t="shared" si="15"/>
        <v>84.648470511141184</v>
      </c>
      <c r="G22" s="1049">
        <f t="shared" si="11"/>
        <v>-0.99431346726127856</v>
      </c>
      <c r="H22" s="1047">
        <f t="shared" si="12"/>
        <v>-1.174638432634657E-2</v>
      </c>
      <c r="J22" s="1049">
        <f t="shared" si="16"/>
        <v>87.019896480331241</v>
      </c>
      <c r="K22" s="1050">
        <f t="shared" si="16"/>
        <v>72.743219552907149</v>
      </c>
      <c r="L22" s="1049">
        <f t="shared" si="13"/>
        <v>14.276676927424091</v>
      </c>
      <c r="M22" s="1047">
        <f t="shared" si="14"/>
        <v>0.19626127376779726</v>
      </c>
    </row>
    <row r="23" spans="3:13">
      <c r="C23" s="1053" t="s">
        <v>3870</v>
      </c>
      <c r="D23" s="1039"/>
      <c r="E23" s="1042">
        <f>E11/E$6</f>
        <v>13.839006928406466</v>
      </c>
      <c r="F23" s="1054">
        <f>F11/F$6</f>
        <v>11.384368736766891</v>
      </c>
      <c r="G23" s="1042">
        <f t="shared" si="11"/>
        <v>2.4546381916395745</v>
      </c>
      <c r="H23" s="1043">
        <f t="shared" si="12"/>
        <v>0.21561478272502621</v>
      </c>
      <c r="J23" s="1042">
        <f t="shared" ref="J23:K23" si="17">J11/J$6</f>
        <v>12.145434782608696</v>
      </c>
      <c r="K23" s="1054">
        <f t="shared" si="17"/>
        <v>10.351670902199563</v>
      </c>
      <c r="L23" s="1042">
        <f t="shared" si="13"/>
        <v>1.7937638804091325</v>
      </c>
      <c r="M23" s="1043">
        <f t="shared" si="14"/>
        <v>0.17328254514234862</v>
      </c>
    </row>
    <row r="24" spans="3:13" ht="15">
      <c r="C24" s="1048" t="s">
        <v>3871</v>
      </c>
      <c r="D24" s="1039"/>
      <c r="E24" s="1049">
        <f>E12/E$6</f>
        <v>69.815150115473443</v>
      </c>
      <c r="F24" s="1050">
        <f>F12/F$6</f>
        <v>73.264101774374296</v>
      </c>
      <c r="G24" s="1065">
        <f t="shared" si="11"/>
        <v>-3.4489516589008531</v>
      </c>
      <c r="H24" s="1057">
        <f t="shared" si="12"/>
        <v>-4.7075601493379644E-2</v>
      </c>
      <c r="J24" s="1049">
        <f>J12/J$6</f>
        <v>74.874461697722538</v>
      </c>
      <c r="K24" s="1050">
        <f>K12/K$6</f>
        <v>62.391548650707577</v>
      </c>
      <c r="L24" s="1065">
        <f t="shared" si="13"/>
        <v>12.482913047014961</v>
      </c>
      <c r="M24" s="1057">
        <f t="shared" si="14"/>
        <v>0.20007378109652665</v>
      </c>
    </row>
    <row r="25" spans="3:13" ht="15">
      <c r="C25" s="1053" t="s">
        <v>3872</v>
      </c>
      <c r="D25" s="1039"/>
      <c r="E25" s="1066">
        <f>E14/E$6</f>
        <v>4.4994457274826791</v>
      </c>
      <c r="F25" s="1058">
        <f>F14/F$6</f>
        <v>20</v>
      </c>
      <c r="G25" s="1040">
        <f t="shared" si="11"/>
        <v>-15.50055427251732</v>
      </c>
      <c r="H25" s="1047">
        <f t="shared" si="12"/>
        <v>-0.77502771362586598</v>
      </c>
      <c r="J25" s="1042">
        <f t="shared" ref="J25:K25" si="18">J14/J$6</f>
        <v>15.288053830227744</v>
      </c>
      <c r="K25" s="1058">
        <f t="shared" si="18"/>
        <v>20</v>
      </c>
      <c r="L25" s="1040">
        <f t="shared" si="13"/>
        <v>-4.711946169772256</v>
      </c>
      <c r="M25" s="1047">
        <f t="shared" si="14"/>
        <v>-0.23559730848861279</v>
      </c>
    </row>
    <row r="26" spans="3:13" ht="15">
      <c r="C26" s="1067" t="s">
        <v>3873</v>
      </c>
      <c r="D26" s="1039"/>
      <c r="E26" s="1065">
        <f>E15/E$6</f>
        <v>65.315704387990763</v>
      </c>
      <c r="F26" s="1068">
        <f>F15/F$6</f>
        <v>53.264101774374296</v>
      </c>
      <c r="G26" s="1065">
        <f>E26-F26</f>
        <v>12.051602613616467</v>
      </c>
      <c r="H26" s="1057">
        <f t="shared" si="12"/>
        <v>0.22626125687178247</v>
      </c>
      <c r="J26" s="1065">
        <f>J15/J$6</f>
        <v>59.586407867494785</v>
      </c>
      <c r="K26" s="1068">
        <f>K15/K$6</f>
        <v>42.391548650707577</v>
      </c>
      <c r="L26" s="1065">
        <f>J26-K26</f>
        <v>17.194859216787208</v>
      </c>
      <c r="M26" s="1057">
        <f t="shared" si="14"/>
        <v>0.40561998238062014</v>
      </c>
    </row>
    <row r="27" spans="3:13">
      <c r="C27" s="1063"/>
      <c r="G27" s="1064"/>
      <c r="K27" s="1064"/>
    </row>
    <row r="29" spans="3:13">
      <c r="C29" s="1069" t="s">
        <v>3875</v>
      </c>
    </row>
    <row r="30" spans="3:13" ht="15">
      <c r="C30" s="1070" t="s">
        <v>3876</v>
      </c>
      <c r="E30" s="1071" t="s">
        <v>3877</v>
      </c>
      <c r="F30" s="1072"/>
      <c r="G30" s="1073">
        <f>SUMIF(A37:A48,"X",E37:E48)*$G$33-E14</f>
        <v>6711.74</v>
      </c>
      <c r="H30" s="1074" t="s">
        <v>3878</v>
      </c>
    </row>
    <row r="31" spans="3:13" ht="15">
      <c r="C31" s="1075">
        <v>5773</v>
      </c>
      <c r="E31" s="1071" t="s">
        <v>3879</v>
      </c>
      <c r="F31" s="1072"/>
      <c r="G31" s="1073">
        <f>SUMIF(B37:B48,"X",E37:E48)*$G$33-J14</f>
        <v>4551.74</v>
      </c>
      <c r="H31" s="1074" t="s">
        <v>3878</v>
      </c>
    </row>
    <row r="32" spans="3:13">
      <c r="C32" s="1070" t="s">
        <v>3880</v>
      </c>
    </row>
    <row r="33" spans="1:41" ht="15">
      <c r="C33" s="1075">
        <v>6758</v>
      </c>
      <c r="E33" s="1320" t="s">
        <v>3881</v>
      </c>
      <c r="F33" s="1320"/>
      <c r="G33" s="1076">
        <v>20</v>
      </c>
    </row>
    <row r="35" spans="1:41" ht="15">
      <c r="E35" s="1311" t="s">
        <v>3882</v>
      </c>
      <c r="F35" s="1312"/>
    </row>
    <row r="36" spans="1:41" ht="46.5" customHeight="1">
      <c r="A36" s="1077" t="s">
        <v>3</v>
      </c>
      <c r="B36" s="1077" t="s">
        <v>4</v>
      </c>
      <c r="C36" s="1078" t="s">
        <v>3</v>
      </c>
      <c r="D36" s="1072"/>
      <c r="E36" s="1079" t="s">
        <v>656</v>
      </c>
      <c r="F36" s="1079" t="s">
        <v>3883</v>
      </c>
      <c r="G36" s="1080" t="s">
        <v>3884</v>
      </c>
      <c r="H36" s="1023" t="str">
        <f>+IF(Parametres!$B$3=H$38,"X","")</f>
        <v/>
      </c>
      <c r="I36" s="1026" t="str">
        <f>+IF(Parametres!$B$3=I$38,"X","")</f>
        <v/>
      </c>
      <c r="J36" s="1026" t="str">
        <f>+IF(Parametres!$B$3=J$38,"X","")</f>
        <v/>
      </c>
      <c r="K36" s="1026" t="str">
        <f>+IF(Parametres!$B$3=K$38,"X","")</f>
        <v/>
      </c>
      <c r="L36" s="1026" t="str">
        <f>+IF(Parametres!$B$3=L$38,"X","")</f>
        <v/>
      </c>
      <c r="M36" s="1026" t="str">
        <f>+IF(Parametres!$B$3=M$38,"X","")</f>
        <v/>
      </c>
      <c r="N36" s="1026" t="str">
        <f>+IF(Parametres!$B$3=N$38,"X","")</f>
        <v/>
      </c>
      <c r="O36" s="1026" t="str">
        <f>+IF(Parametres!$B$3=O$38,"X","")</f>
        <v/>
      </c>
      <c r="P36" s="1026" t="str">
        <f>+IF(Parametres!$B$3=P$38,"X","")</f>
        <v/>
      </c>
      <c r="Q36" s="1026" t="str">
        <f>+IF(Parametres!$B$3=Q$38,"X","")</f>
        <v/>
      </c>
      <c r="R36" s="1023" t="str">
        <f>+IF(Parametres!$B$3=R$38,"X","")</f>
        <v/>
      </c>
      <c r="S36" s="1023" t="str">
        <f>+IF(Parametres!$B$3=S$38,"X","")</f>
        <v/>
      </c>
      <c r="U36" s="1023" t="str">
        <f>+IF(Parametres!$B$3=N$7,"X","")</f>
        <v/>
      </c>
      <c r="V36" s="1023" t="str">
        <f>+IF(Parametres!$B$3=N$7,"O","")</f>
        <v/>
      </c>
      <c r="W36" s="1023" t="str">
        <f>+IF(Parametres!$B$3=N$7,"U","")</f>
        <v/>
      </c>
      <c r="X36" s="1023" t="str">
        <f>+IF(Parametres!$B$3=Q$7,"X","")</f>
        <v/>
      </c>
      <c r="Y36" s="1023" t="str">
        <f>+IF(Parametres!$B$3=Q$7,"O","")</f>
        <v/>
      </c>
      <c r="Z36" s="1023" t="str">
        <f>+IF(Parametres!$B$3=Q$7,"U","")</f>
        <v/>
      </c>
      <c r="AA36" s="1023" t="str">
        <f>+IF(Parametres!$B$3=T$7,"X","")</f>
        <v/>
      </c>
      <c r="AB36" s="1023" t="str">
        <f>+IF(Parametres!$B$3=T$7,"O","")</f>
        <v/>
      </c>
      <c r="AC36" s="1023" t="str">
        <f>+IF(Parametres!$B$3=T$7,"U","")</f>
        <v/>
      </c>
      <c r="AD36" s="1023" t="str">
        <f>+IF(Parametres!$B$3=W$7,"X","")</f>
        <v/>
      </c>
      <c r="AE36" s="1023" t="str">
        <f>+IF(Parametres!$B$3=W$7,"O","")</f>
        <v/>
      </c>
      <c r="AF36" s="1023" t="str">
        <f>+IF(Parametres!$B$3=W$7,"U","")</f>
        <v/>
      </c>
      <c r="AG36" s="1023" t="str">
        <f>+IF(Parametres!$B$3=Z$7,"X","")</f>
        <v/>
      </c>
      <c r="AH36" s="1023" t="str">
        <f>+IF(Parametres!$B$3=Z$7,"O","")</f>
        <v/>
      </c>
      <c r="AI36" s="1023" t="str">
        <f>+IF(Parametres!$B$3=Z$7,"U","")</f>
        <v/>
      </c>
      <c r="AJ36" s="1023" t="str">
        <f>+IF(Parametres!$B$3=AC$7,"X","")</f>
        <v/>
      </c>
      <c r="AK36" s="1023" t="str">
        <f>+IF(Parametres!$B$3=AC$7,"O","")</f>
        <v/>
      </c>
      <c r="AL36" s="1023" t="str">
        <f>+IF(Parametres!$B$3=AC$7,"U","")</f>
        <v/>
      </c>
      <c r="AM36" s="1023" t="str">
        <f>+IF(Parametres!$B$3=AF$7,"X","")</f>
        <v/>
      </c>
      <c r="AN36" s="1023" t="str">
        <f>+IF(Parametres!$B$3=AF$7,"O","")</f>
        <v/>
      </c>
      <c r="AO36" s="1023" t="str">
        <f>+IF(Parametres!$B$3=AF$7,"U","")</f>
        <v/>
      </c>
    </row>
    <row r="37" spans="1:41" ht="15">
      <c r="A37" s="1081" t="str">
        <f>+IF(Parametres!$B$3=$C37,"X","")</f>
        <v/>
      </c>
      <c r="B37" s="1081" t="str">
        <f>+IF(VLOOKUP($C37,Parametres!$K$3:$N$14,4,0)="X","X","")</f>
        <v>X</v>
      </c>
      <c r="C37" s="1082" t="s">
        <v>8</v>
      </c>
      <c r="E37" s="1083">
        <v>533</v>
      </c>
      <c r="F37" s="1083">
        <v>418.92206904918402</v>
      </c>
      <c r="G37" s="1083">
        <v>4014.4</v>
      </c>
      <c r="H37" s="1023" t="e">
        <f>ARRONDI</f>
        <v>#NAME?</v>
      </c>
      <c r="I37" s="1023"/>
      <c r="J37" s="1122"/>
      <c r="K37" s="1096"/>
      <c r="L37" s="1023"/>
      <c r="M37" s="1023"/>
    </row>
    <row r="38" spans="1:41" ht="15">
      <c r="A38" s="1081" t="str">
        <f>+IF(Parametres!$B$3=$C38,"X","")</f>
        <v>X</v>
      </c>
      <c r="B38" s="1081" t="str">
        <f>+IF(VLOOKUP($C38,Parametres!$K$3:$N$14,4,0)="X","X","")</f>
        <v>X</v>
      </c>
      <c r="C38" s="1084" t="s">
        <v>10</v>
      </c>
      <c r="E38" s="1083">
        <v>433</v>
      </c>
      <c r="F38" s="1083">
        <v>311.9435150172892</v>
      </c>
      <c r="G38" s="1083">
        <v>3551.28</v>
      </c>
      <c r="H38" s="1023"/>
      <c r="I38" s="1023"/>
      <c r="J38" s="1122"/>
      <c r="K38" s="1023"/>
      <c r="L38" s="1023"/>
      <c r="M38" s="1023"/>
    </row>
    <row r="39" spans="1:41" ht="15">
      <c r="A39" s="1023" t="str">
        <f>+IF(Parametres!$B$3=$C39,"X","")</f>
        <v/>
      </c>
      <c r="B39" s="1023" t="str">
        <f>+IF(VLOOKUP($C39,Parametres!$K$3:$N$14,4,0)="X","X","")</f>
        <v/>
      </c>
      <c r="C39" s="1084" t="s">
        <v>11</v>
      </c>
      <c r="E39" s="1083">
        <v>429</v>
      </c>
      <c r="F39" s="1083">
        <v>418.68023703135316</v>
      </c>
      <c r="G39" s="1083">
        <v>4269.5213600121897</v>
      </c>
      <c r="H39" s="1023"/>
      <c r="I39" s="1023"/>
      <c r="J39" s="1122"/>
      <c r="K39" s="1023"/>
      <c r="L39" s="1023"/>
      <c r="M39" s="1023"/>
    </row>
    <row r="40" spans="1:41" ht="15">
      <c r="A40" s="1023" t="str">
        <f>+IF(Parametres!$B$3=$C40,"X","")</f>
        <v/>
      </c>
      <c r="B40" s="1023" t="str">
        <f>+IF(VLOOKUP($C40,Parametres!$K$3:$N$14,4,0)="X","X","")</f>
        <v/>
      </c>
      <c r="C40" s="1084" t="s">
        <v>12</v>
      </c>
      <c r="E40" s="1083">
        <v>469</v>
      </c>
      <c r="F40" s="1083">
        <v>365.36471094335428</v>
      </c>
      <c r="G40" s="1083">
        <v>3179.2297395705646</v>
      </c>
      <c r="H40" s="1023"/>
      <c r="I40" s="1023"/>
      <c r="J40" s="1122"/>
      <c r="K40" s="1023"/>
      <c r="L40" s="1023"/>
      <c r="M40" s="1023"/>
    </row>
    <row r="41" spans="1:41" ht="15">
      <c r="A41" s="1023" t="str">
        <f>+IF(Parametres!$B$3=$C41,"X","")</f>
        <v/>
      </c>
      <c r="B41" s="1023" t="str">
        <f>+IF(VLOOKUP($C41,Parametres!$K$3:$N$14,4,0)="X","X","")</f>
        <v/>
      </c>
      <c r="C41" s="1084" t="s">
        <v>13</v>
      </c>
      <c r="E41" s="1083">
        <v>461</v>
      </c>
      <c r="F41" s="1083">
        <v>375.8793196965787</v>
      </c>
      <c r="G41" s="1083">
        <v>4267.0566844986533</v>
      </c>
      <c r="H41" s="1023"/>
      <c r="I41" s="1023"/>
      <c r="J41" s="1122"/>
      <c r="K41" s="1124"/>
      <c r="L41" s="1023"/>
      <c r="M41" s="1023"/>
    </row>
    <row r="42" spans="1:41" ht="15">
      <c r="A42" s="1023" t="str">
        <f>+IF(Parametres!$B$3=$C42,"X","")</f>
        <v/>
      </c>
      <c r="B42" s="1023" t="str">
        <f>+IF(VLOOKUP($C42,Parametres!$K$3:$N$14,4,0)="X","X","")</f>
        <v/>
      </c>
      <c r="C42" s="1084" t="s">
        <v>14</v>
      </c>
      <c r="E42" s="1083">
        <v>365</v>
      </c>
      <c r="F42" s="1083">
        <v>427.89426555292169</v>
      </c>
      <c r="G42" s="1083">
        <v>3723.6816888350295</v>
      </c>
      <c r="J42" s="1123"/>
      <c r="N42" s="1026"/>
      <c r="O42" s="1026"/>
      <c r="P42" s="1026"/>
      <c r="Q42" s="1026"/>
      <c r="R42" s="1072"/>
      <c r="S42" s="1072"/>
    </row>
    <row r="43" spans="1:41" ht="15">
      <c r="A43" s="1023" t="str">
        <f>+IF(Parametres!$B$3=$C43,"X","")</f>
        <v/>
      </c>
      <c r="B43" s="1023" t="str">
        <f>+IF(VLOOKUP($C43,Parametres!$K$3:$N$14,4,0)="X","X","")</f>
        <v/>
      </c>
      <c r="C43" s="1084" t="s">
        <v>16</v>
      </c>
      <c r="E43" s="1083">
        <v>378</v>
      </c>
      <c r="F43" s="1083">
        <v>456.46099473794209</v>
      </c>
      <c r="G43" s="1083">
        <v>3830.8432589235963</v>
      </c>
      <c r="N43" s="1026"/>
      <c r="O43" s="1026"/>
      <c r="P43" s="1026"/>
      <c r="Q43" s="1026"/>
      <c r="R43" s="1072"/>
      <c r="S43" s="1072"/>
    </row>
    <row r="44" spans="1:41" ht="15">
      <c r="A44" s="1023" t="str">
        <f>+IF(Parametres!$B$3=$C44,"X","")</f>
        <v/>
      </c>
      <c r="B44" s="1023" t="str">
        <f>+IF(VLOOKUP($C44,Parametres!$K$3:$N$14,4,0)="X","X","")</f>
        <v/>
      </c>
      <c r="C44" s="1084" t="s">
        <v>18</v>
      </c>
      <c r="E44" s="1083">
        <v>413</v>
      </c>
      <c r="F44" s="1083">
        <v>398.12415969308483</v>
      </c>
      <c r="G44" s="1083">
        <v>4360.9631518134156</v>
      </c>
      <c r="H44" s="1072"/>
      <c r="I44" s="1073"/>
      <c r="N44" s="1026"/>
      <c r="O44" s="1026"/>
      <c r="P44" s="1026"/>
      <c r="Q44" s="1026"/>
      <c r="R44" s="1072"/>
      <c r="S44" s="1072"/>
    </row>
    <row r="45" spans="1:41" ht="15">
      <c r="A45" s="1023" t="str">
        <f>+IF(Parametres!$B$3=$C45,"X","")</f>
        <v/>
      </c>
      <c r="B45" s="1023" t="str">
        <f>+IF(VLOOKUP($C45,Parametres!$K$3:$N$14,4,0)="X","X","")</f>
        <v/>
      </c>
      <c r="C45" s="1084" t="s">
        <v>20</v>
      </c>
      <c r="E45" s="1083">
        <v>447</v>
      </c>
      <c r="F45" s="1083">
        <v>476.56079414871488</v>
      </c>
      <c r="G45" s="1083">
        <v>4652.1062293742398</v>
      </c>
      <c r="H45" s="1072"/>
      <c r="I45" s="1073"/>
      <c r="N45" s="1026"/>
      <c r="O45" s="1026"/>
      <c r="P45" s="1026"/>
      <c r="Q45" s="1026"/>
      <c r="R45" s="1072"/>
      <c r="S45" s="1072"/>
    </row>
    <row r="46" spans="1:41" ht="18" customHeight="1">
      <c r="A46" s="1023" t="str">
        <f>+IF(Parametres!$B$3=$C46,"X","")</f>
        <v/>
      </c>
      <c r="B46" s="1023" t="str">
        <f>+IF(VLOOKUP($C46,Parametres!$K$3:$N$14,4,0)="X","X","")</f>
        <v/>
      </c>
      <c r="C46" s="1084" t="s">
        <v>22</v>
      </c>
      <c r="E46" s="1083">
        <v>430</v>
      </c>
      <c r="F46" s="1083">
        <v>479.32101018309692</v>
      </c>
      <c r="G46" s="1083">
        <v>4057.5556394164596</v>
      </c>
      <c r="H46" s="1072"/>
      <c r="I46" s="1073"/>
      <c r="N46" s="1026"/>
      <c r="O46" s="1026"/>
      <c r="P46" s="1026"/>
      <c r="Q46" s="1026"/>
      <c r="R46" s="1072"/>
      <c r="S46" s="1072"/>
    </row>
    <row r="47" spans="1:41" ht="15">
      <c r="A47" s="1023" t="str">
        <f>+IF(Parametres!$B$3=$C47,"X","")</f>
        <v/>
      </c>
      <c r="B47" s="1023" t="str">
        <f>+IF(VLOOKUP($C47,Parametres!$K$3:$N$14,4,0)="X","X","")</f>
        <v/>
      </c>
      <c r="C47" s="1085" t="s">
        <v>23</v>
      </c>
      <c r="E47" s="1083">
        <v>385</v>
      </c>
      <c r="F47" s="1083">
        <v>449.1117835802815</v>
      </c>
      <c r="G47" s="1083">
        <v>4856.9570339905476</v>
      </c>
    </row>
    <row r="48" spans="1:41" ht="15">
      <c r="A48" s="1023" t="str">
        <f>+IF(Parametres!$B$3=$C48,"X","")</f>
        <v/>
      </c>
      <c r="B48" s="1023" t="str">
        <f>+IF(VLOOKUP($C48,Parametres!$K$3:$N$14,4,0)="X","X","")</f>
        <v/>
      </c>
      <c r="C48" s="1086" t="s">
        <v>6</v>
      </c>
      <c r="E48" s="1087">
        <v>418</v>
      </c>
      <c r="F48" s="1087">
        <v>461.73714036619947</v>
      </c>
      <c r="G48" s="1087">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21" t="s">
        <v>644</v>
      </c>
      <c r="C1" s="1322"/>
      <c r="D1" s="1322"/>
      <c r="E1" s="1322"/>
      <c r="F1" s="1322"/>
      <c r="G1" s="1322"/>
      <c r="H1" s="1322"/>
      <c r="I1" s="1322"/>
      <c r="J1" s="1322"/>
      <c r="K1" s="1322"/>
      <c r="L1" s="1322"/>
      <c r="M1" s="1322"/>
      <c r="N1" s="1322"/>
      <c r="O1" s="1322"/>
      <c r="P1" s="1322"/>
      <c r="Q1" s="1322"/>
      <c r="R1" s="1322"/>
      <c r="S1" s="1322"/>
      <c r="T1" s="132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51</v>
      </c>
      <c r="D5" s="560">
        <f>Print_Mois!L27/Print_Mois!J27</f>
        <v>2453.7864705882316</v>
      </c>
      <c r="E5" s="561">
        <f t="shared" ref="E5:E6" si="0">+C5*D5</f>
        <v>125143.10999999981</v>
      </c>
      <c r="F5" s="3"/>
      <c r="G5" s="231" t="s">
        <v>656</v>
      </c>
      <c r="H5" s="559">
        <f>Print_Mois!J108</f>
        <v>41</v>
      </c>
      <c r="I5" s="560">
        <f>Print_Mois!L108/Print_Mois!J108</f>
        <v>1304.4424390243898</v>
      </c>
      <c r="J5" s="561">
        <f t="shared" ref="J5:J6" si="1">+H5*I5</f>
        <v>53482.139999999985</v>
      </c>
      <c r="K5" s="3"/>
      <c r="L5" s="231" t="s">
        <v>656</v>
      </c>
      <c r="M5" s="560">
        <f>Print_Mois!K194</f>
        <v>278696.02</v>
      </c>
      <c r="N5" s="562">
        <f t="shared" ref="N5:N6" si="2">O5/M5</f>
        <v>0.71580182594641995</v>
      </c>
      <c r="O5" s="560">
        <f>Print_Mois!L194</f>
        <v>199491.12</v>
      </c>
      <c r="P5" s="3"/>
      <c r="Q5" s="231" t="s">
        <v>656</v>
      </c>
      <c r="R5" s="563">
        <f>Print_Mois!J185</f>
        <v>752</v>
      </c>
      <c r="S5" s="560">
        <f>Print_Mois!K185/Print_Mois!J185</f>
        <v>352.01853723404258</v>
      </c>
      <c r="T5" s="561">
        <f t="shared" ref="T5:T6" si="3">+R5*S5</f>
        <v>264717.94</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51</v>
      </c>
      <c r="D7" s="570" t="e">
        <f t="shared" si="4"/>
        <v>#DIV/0!</v>
      </c>
      <c r="E7" s="571" t="e">
        <f t="shared" si="4"/>
        <v>#DIV/0!</v>
      </c>
      <c r="F7" s="3"/>
      <c r="G7" s="133" t="s">
        <v>655</v>
      </c>
      <c r="H7" s="569">
        <f t="shared" ref="H7:J7" si="5">+H5-H6</f>
        <v>41</v>
      </c>
      <c r="I7" s="570" t="e">
        <f t="shared" si="5"/>
        <v>#DIV/0!</v>
      </c>
      <c r="J7" s="571" t="e">
        <f t="shared" si="5"/>
        <v>#DIV/0!</v>
      </c>
      <c r="K7" s="3"/>
      <c r="L7" s="133" t="s">
        <v>655</v>
      </c>
      <c r="M7" s="570">
        <f t="shared" ref="M7:O7" si="6">+M5-M6</f>
        <v>278696.02</v>
      </c>
      <c r="N7" s="572" t="e">
        <f t="shared" si="6"/>
        <v>#DIV/0!</v>
      </c>
      <c r="O7" s="571">
        <f t="shared" si="6"/>
        <v>199491.12</v>
      </c>
      <c r="P7" s="3"/>
      <c r="Q7" s="133" t="s">
        <v>655</v>
      </c>
      <c r="R7" s="573">
        <f t="shared" ref="R7:T7" si="7">+R5-R6</f>
        <v>752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51</v>
      </c>
      <c r="D10" s="561">
        <f t="shared" si="12"/>
        <v>2453.7864705882316</v>
      </c>
      <c r="E10" s="566">
        <f>+C10*D10</f>
        <v>125143.10999999981</v>
      </c>
      <c r="F10" s="3"/>
      <c r="G10" s="133" t="s">
        <v>660</v>
      </c>
      <c r="H10" s="577">
        <f t="shared" ref="H10:I10" si="13">+H5</f>
        <v>41</v>
      </c>
      <c r="I10" s="561">
        <f t="shared" si="13"/>
        <v>1304.4424390243898</v>
      </c>
      <c r="J10" s="566">
        <f>+H10*I10</f>
        <v>53482.139999999985</v>
      </c>
      <c r="K10" s="3"/>
      <c r="L10" s="133" t="s">
        <v>661</v>
      </c>
      <c r="M10" s="561">
        <f t="shared" ref="M10:N10" si="14">+M5</f>
        <v>278696.02</v>
      </c>
      <c r="N10" s="562">
        <f t="shared" si="14"/>
        <v>0.71580182594641995</v>
      </c>
      <c r="O10" s="566">
        <f>+M10*N10</f>
        <v>199491.12</v>
      </c>
      <c r="P10" s="3"/>
      <c r="Q10" s="133" t="s">
        <v>662</v>
      </c>
      <c r="R10" s="578">
        <f t="shared" ref="R10:S10" si="15">+R5</f>
        <v>752</v>
      </c>
      <c r="S10" s="561">
        <f t="shared" si="15"/>
        <v>352.01853723404258</v>
      </c>
      <c r="T10" s="566">
        <f>+R10*S10</f>
        <v>264717.94</v>
      </c>
      <c r="U10" s="3"/>
      <c r="V10" s="3"/>
      <c r="W10" s="3"/>
      <c r="X10" s="3"/>
      <c r="Y10" s="3"/>
      <c r="Z10" s="3"/>
    </row>
    <row r="11" spans="1:26">
      <c r="A11" s="3"/>
      <c r="B11" s="133" t="s">
        <v>663</v>
      </c>
      <c r="C11" s="577">
        <f>+C5</f>
        <v>51</v>
      </c>
      <c r="D11" s="566" t="e">
        <f>+D6</f>
        <v>#DIV/0!</v>
      </c>
      <c r="E11" s="566" t="e">
        <f>C11*D11</f>
        <v>#DIV/0!</v>
      </c>
      <c r="F11" s="3"/>
      <c r="G11" s="133" t="s">
        <v>663</v>
      </c>
      <c r="H11" s="577">
        <f>+H5</f>
        <v>41</v>
      </c>
      <c r="I11" s="566" t="e">
        <f>+I6</f>
        <v>#DIV/0!</v>
      </c>
      <c r="J11" s="566" t="e">
        <f>H11*I11</f>
        <v>#DIV/0!</v>
      </c>
      <c r="K11" s="3"/>
      <c r="L11" s="133" t="s">
        <v>663</v>
      </c>
      <c r="M11" s="561">
        <f>+M5</f>
        <v>278696.02</v>
      </c>
      <c r="N11" s="567" t="e">
        <f>+N6</f>
        <v>#DIV/0!</v>
      </c>
      <c r="O11" s="566" t="e">
        <f>M11*N11</f>
        <v>#DIV/0!</v>
      </c>
      <c r="P11" s="3"/>
      <c r="Q11" s="133" t="s">
        <v>664</v>
      </c>
      <c r="R11" s="578">
        <f>+R5</f>
        <v>752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51</v>
      </c>
      <c r="D15" s="566" t="e">
        <f>+D6</f>
        <v>#DIV/0!</v>
      </c>
      <c r="E15" s="566" t="e">
        <f>+C15*D15</f>
        <v>#DIV/0!</v>
      </c>
      <c r="F15" s="3"/>
      <c r="G15" s="133" t="s">
        <v>667</v>
      </c>
      <c r="H15" s="577">
        <f t="shared" ref="H15:H16" si="21">+H5</f>
        <v>41</v>
      </c>
      <c r="I15" s="566" t="e">
        <f>+I6</f>
        <v>#DIV/0!</v>
      </c>
      <c r="J15" s="566" t="e">
        <f>+H15*I15</f>
        <v>#DIV/0!</v>
      </c>
      <c r="K15" s="3"/>
      <c r="L15" s="133" t="s">
        <v>668</v>
      </c>
      <c r="M15" s="561">
        <f t="shared" ref="M15:M16" si="22">+M5</f>
        <v>278696.02</v>
      </c>
      <c r="N15" s="567" t="e">
        <f>+N6</f>
        <v>#DIV/0!</v>
      </c>
      <c r="O15" s="566" t="e">
        <f>+M15*N15</f>
        <v>#DIV/0!</v>
      </c>
      <c r="P15" s="3"/>
      <c r="Q15" s="133" t="s">
        <v>669</v>
      </c>
      <c r="R15" s="578">
        <f t="shared" ref="R15:R16" si="23">+R5</f>
        <v>752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51</v>
      </c>
      <c r="D17" s="570" t="e">
        <f t="shared" si="24"/>
        <v>#DIV/0!</v>
      </c>
      <c r="E17" s="571" t="e">
        <f t="shared" si="24"/>
        <v>#DIV/0!</v>
      </c>
      <c r="F17" s="3"/>
      <c r="G17" s="133" t="s">
        <v>665</v>
      </c>
      <c r="H17" s="569">
        <f t="shared" ref="H17:J17" si="25">+H15-H16</f>
        <v>41</v>
      </c>
      <c r="I17" s="570" t="e">
        <f t="shared" si="25"/>
        <v>#DIV/0!</v>
      </c>
      <c r="J17" s="571" t="e">
        <f t="shared" si="25"/>
        <v>#DIV/0!</v>
      </c>
      <c r="K17" s="3"/>
      <c r="L17" s="133" t="s">
        <v>665</v>
      </c>
      <c r="M17" s="570">
        <f t="shared" ref="M17:O17" si="26">+M15-M16</f>
        <v>278696.02</v>
      </c>
      <c r="N17" s="572" t="e">
        <f t="shared" si="26"/>
        <v>#DIV/0!</v>
      </c>
      <c r="O17" s="571" t="e">
        <f t="shared" si="26"/>
        <v>#DIV/0!</v>
      </c>
      <c r="P17" s="3"/>
      <c r="Q17" s="133" t="s">
        <v>665</v>
      </c>
      <c r="R17" s="573">
        <f t="shared" ref="R17:T17" si="27">+R15-R16</f>
        <v>752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51</v>
      </c>
      <c r="D20" s="566" t="e">
        <f t="shared" si="28"/>
        <v>#DIV/0!</v>
      </c>
      <c r="E20" s="566" t="e">
        <f>+C20*D20</f>
        <v>#DIV/0!</v>
      </c>
      <c r="F20" s="3"/>
      <c r="G20" s="133" t="s">
        <v>672</v>
      </c>
      <c r="H20" s="579">
        <f t="shared" ref="H20:I20" si="29">MAX(H5:H6)</f>
        <v>41</v>
      </c>
      <c r="I20" s="566" t="e">
        <f t="shared" si="29"/>
        <v>#DIV/0!</v>
      </c>
      <c r="J20" s="566" t="e">
        <f>+H20*I20</f>
        <v>#DIV/0!</v>
      </c>
      <c r="K20" s="3"/>
      <c r="L20" s="133" t="s">
        <v>672</v>
      </c>
      <c r="M20" s="566">
        <f t="shared" ref="M20:N20" si="30">MAX(M5:M6)</f>
        <v>278696.02</v>
      </c>
      <c r="N20" s="567" t="e">
        <f t="shared" si="30"/>
        <v>#DIV/0!</v>
      </c>
      <c r="O20" s="566" t="e">
        <f>+M20*N20</f>
        <v>#DIV/0!</v>
      </c>
      <c r="P20" s="3"/>
      <c r="Q20" s="133" t="s">
        <v>672</v>
      </c>
      <c r="R20" s="580">
        <f t="shared" ref="R20:S20" si="31">MAX(R5:R6)</f>
        <v>752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51</v>
      </c>
      <c r="D23" s="570" t="e">
        <f t="shared" si="36"/>
        <v>#DIV/0!</v>
      </c>
      <c r="E23" s="570" t="e">
        <f t="shared" si="36"/>
        <v>#DIV/0!</v>
      </c>
      <c r="F23" s="3"/>
      <c r="G23" s="133" t="s">
        <v>674</v>
      </c>
      <c r="H23" s="569">
        <f t="shared" ref="H23:J23" si="37">+H20-H22</f>
        <v>41</v>
      </c>
      <c r="I23" s="570" t="e">
        <f t="shared" si="37"/>
        <v>#DIV/0!</v>
      </c>
      <c r="J23" s="570" t="e">
        <f t="shared" si="37"/>
        <v>#DIV/0!</v>
      </c>
      <c r="K23" s="3"/>
      <c r="L23" s="133" t="s">
        <v>674</v>
      </c>
      <c r="M23" s="570">
        <f t="shared" ref="M23:O23" si="38">+M20-M22</f>
        <v>278696.02</v>
      </c>
      <c r="N23" s="572" t="e">
        <f t="shared" si="38"/>
        <v>#DIV/0!</v>
      </c>
      <c r="O23" s="570" t="e">
        <f t="shared" si="38"/>
        <v>#DIV/0!</v>
      </c>
      <c r="P23" s="3"/>
      <c r="Q23" s="133" t="s">
        <v>674</v>
      </c>
      <c r="R23" s="573">
        <f t="shared" ref="R23:T23" si="39">+R20-R22</f>
        <v>752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51</v>
      </c>
      <c r="D32" s="566">
        <f t="shared" ref="D32:D33" si="40">+E32/C32</f>
        <v>66.229287166773304</v>
      </c>
      <c r="E32" s="566">
        <f>+Print_Mois!N78</f>
        <v>3377.6936455054383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51</v>
      </c>
      <c r="D33" s="566">
        <f t="shared" si="40"/>
        <v>-35.167647058823512</v>
      </c>
      <c r="E33" s="566">
        <f>+Print_Mois!N82</f>
        <v>-1793.5499999999993</v>
      </c>
      <c r="F33" s="3"/>
      <c r="G33" s="133" t="s">
        <v>681</v>
      </c>
      <c r="H33" s="588">
        <f>+H17</f>
        <v>41</v>
      </c>
      <c r="I33" s="566">
        <f>+J33/H33</f>
        <v>-167.16219512195121</v>
      </c>
      <c r="J33" s="566">
        <f>+Print_Mois!N159</f>
        <v>-6853.65</v>
      </c>
      <c r="K33" s="3"/>
      <c r="L33" s="3"/>
      <c r="M33" s="3"/>
      <c r="N33" s="3"/>
      <c r="O33" s="3"/>
      <c r="P33" s="3"/>
      <c r="Q33" s="3"/>
      <c r="R33" s="3"/>
      <c r="S33" s="3"/>
      <c r="T33" s="3"/>
      <c r="U33" s="3"/>
      <c r="V33" s="3"/>
      <c r="W33" s="3"/>
      <c r="X33" s="3"/>
      <c r="Y33" s="3"/>
      <c r="Z33" s="3"/>
    </row>
    <row r="34" spans="1:26" ht="15.75" customHeight="1">
      <c r="A34" s="3"/>
      <c r="B34" s="3"/>
      <c r="C34" s="3"/>
      <c r="D34" s="3"/>
      <c r="E34" s="570">
        <f>SUM(E32:E33)</f>
        <v>1584.1436455054391</v>
      </c>
      <c r="F34" s="3"/>
      <c r="G34" s="3"/>
      <c r="H34" s="3"/>
      <c r="I34" s="3"/>
      <c r="J34" s="570">
        <f>SUM(J32:J33)</f>
        <v>-6853.65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M14" sqref="M14"/>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Février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97" t="s">
        <v>343</v>
      </c>
      <c r="E3" s="1298"/>
      <c r="F3" s="1299"/>
      <c r="G3" s="1302"/>
      <c r="H3" s="1298"/>
      <c r="I3" s="1299"/>
      <c r="J3" s="1302" t="s">
        <v>344</v>
      </c>
      <c r="K3" s="1298"/>
      <c r="L3" s="1299"/>
      <c r="M3" s="1302" t="s">
        <v>3310</v>
      </c>
      <c r="N3" s="1299"/>
      <c r="O3" s="1297" t="s">
        <v>345</v>
      </c>
      <c r="P3" s="1298"/>
      <c r="Q3" s="1299"/>
      <c r="R3" s="1300" t="s">
        <v>3312</v>
      </c>
      <c r="S3" s="130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4937719.1948868558</v>
      </c>
      <c r="G5" s="246"/>
      <c r="H5" s="247"/>
      <c r="I5" s="249"/>
      <c r="J5" s="246"/>
      <c r="K5" s="250"/>
      <c r="L5" s="248">
        <f>-SUMIFS(BV_Data_An_Cour!$P:$P,BV_Data_An_Cour!$X:$X,"Oui",BV_Data_An_Cour!$U:$U,$B5)</f>
        <v>4731267.370000001</v>
      </c>
      <c r="M5" s="251"/>
      <c r="N5" s="252"/>
      <c r="O5" s="246"/>
      <c r="P5" s="250"/>
      <c r="Q5" s="248" cm="1">
        <f t="array" ref="Q5">+SUMPRODUCT(('Réel 2024'!$A$8:$A$501=$A5)*('Réel 2024'!$C$3:$AO$3=Q$2),'Réel 2024'!$C$8:$AO$501)</f>
        <v>4994106.98999999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27</v>
      </c>
      <c r="E6" s="254">
        <f t="shared" ref="E6:E12" si="2">IF(D6=0,0,F6/D6)</f>
        <v>1839.3978952721661</v>
      </c>
      <c r="F6" s="254" cm="1">
        <f t="array" ref="F6">+SUMPRODUCT(('Budget original'!$A$8:$A$501=$A6)*('Budget original'!$C$3:$AO$3=F$2),'Budget original'!$C$8:$AO$501)</f>
        <v>49663.743172348484</v>
      </c>
      <c r="G6" s="255"/>
      <c r="H6" s="254"/>
      <c r="I6" s="254"/>
      <c r="J6" s="255">
        <f>-SUMIFS(BV_Data_An_Cour!$P:$P,BV_Data_An_Cour!$U:$U,$B6,BV_Data_An_Cour!$V:$V,$C6,BV_Data_An_Cour!$W:$W,J$2)</f>
        <v>14</v>
      </c>
      <c r="K6" s="254">
        <f t="shared" ref="K6:K12" si="3">IF(J6=0,0,L6/J6)</f>
        <v>1412.9957142857154</v>
      </c>
      <c r="L6" s="256">
        <f>-SUMIFS(BV_Data_An_Cour!$P:$P,BV_Data_An_Cour!$U:$U,$B6,BV_Data_An_Cour!$V:$V,$C6,BV_Data_An_Cour!$W:$W,L$2)</f>
        <v>19781.940000000017</v>
      </c>
      <c r="M6" s="255">
        <f t="shared" ref="M6:M12" si="4">J6-D6</f>
        <v>-13</v>
      </c>
      <c r="N6" s="256">
        <f t="shared" ref="N6:N12" si="5">L6-F6</f>
        <v>-29881.803172348467</v>
      </c>
      <c r="O6" s="255" cm="1">
        <f t="array" ref="O6">+SUMPRODUCT(('Réel 2024'!$A$8:$A$501=$A6)*('Réel 2024'!$C$3:$AO$3=O$2),'Réel 2024'!$C$8:$AO$501)</f>
        <v>12</v>
      </c>
      <c r="P6" s="254">
        <f t="shared" ref="P6:P12" si="6">IF(O6=0,0,Q6/O6)</f>
        <v>1593.2266666666576</v>
      </c>
      <c r="Q6" s="256" cm="1">
        <f t="array" ref="Q6">+SUMPRODUCT(('Réel 2024'!$A$8:$A$501=$A6)*('Réel 2024'!$C$3:$AO$3=Q$2),'Réel 2024'!$C$8:$AO$501)</f>
        <v>19118.719999999892</v>
      </c>
      <c r="R6" s="255">
        <f t="shared" ref="R6:R12" si="7">J6-O6</f>
        <v>2</v>
      </c>
      <c r="S6" s="256">
        <f t="shared" ref="S6:S12" si="8">L6-Q6</f>
        <v>663.22000000012486</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66</v>
      </c>
      <c r="E7" s="254">
        <f t="shared" si="2"/>
        <v>2490.391062883712</v>
      </c>
      <c r="F7" s="254" cm="1">
        <f t="array" ref="F7">+SUMPRODUCT(('Budget original'!$A$8:$A$501=$A7)*('Budget original'!$C$3:$AO$3=F$2),'Budget original'!$C$8:$AO$501)</f>
        <v>164365.81015032501</v>
      </c>
      <c r="G7" s="255"/>
      <c r="H7" s="254"/>
      <c r="I7" s="254"/>
      <c r="J7" s="255">
        <f>-SUMIFS(BV_Data_An_Cour!$P:$P,BV_Data_An_Cour!$U:$U,$B7,BV_Data_An_Cour!$V:$V,$C7,BV_Data_An_Cour!$W:$W,J$2)</f>
        <v>67</v>
      </c>
      <c r="K7" s="254">
        <f t="shared" si="3"/>
        <v>2023.0662686567191</v>
      </c>
      <c r="L7" s="256">
        <f>-SUMIFS(BV_Data_An_Cour!$P:$P,BV_Data_An_Cour!$U:$U,$B7,BV_Data_An_Cour!$V:$V,$C7,BV_Data_An_Cour!$W:$W,L$2)</f>
        <v>135545.44000000018</v>
      </c>
      <c r="M7" s="255">
        <f t="shared" si="4"/>
        <v>1</v>
      </c>
      <c r="N7" s="256">
        <f t="shared" si="5"/>
        <v>-28820.37015032483</v>
      </c>
      <c r="O7" s="255" cm="1">
        <f t="array" ref="O7">+SUMPRODUCT(('Réel 2024'!$A$8:$A$501=$A7)*('Réel 2024'!$C$3:$AO$3=O$2),'Réel 2024'!$C$8:$AO$501)</f>
        <v>66</v>
      </c>
      <c r="P7" s="254">
        <f t="shared" si="6"/>
        <v>2529.7634848484681</v>
      </c>
      <c r="Q7" s="256" cm="1">
        <f t="array" ref="Q7">+SUMPRODUCT(('Réel 2024'!$A$8:$A$501=$A7)*('Réel 2024'!$C$3:$AO$3=Q$2),'Réel 2024'!$C$8:$AO$501)</f>
        <v>166964.38999999891</v>
      </c>
      <c r="R7" s="255">
        <f t="shared" si="7"/>
        <v>1</v>
      </c>
      <c r="S7" s="256">
        <f t="shared" si="8"/>
        <v>-31418.949999998731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93</v>
      </c>
      <c r="E13" s="260">
        <f>IF(D13&lt;=0,0,F13/D13)</f>
        <v>2301.3930464803602</v>
      </c>
      <c r="F13" s="261">
        <f t="shared" ref="F13" si="9">+SUM(F6:F12)</f>
        <v>214029.55332267348</v>
      </c>
      <c r="G13" s="262"/>
      <c r="H13" s="260"/>
      <c r="I13" s="261"/>
      <c r="J13" s="262">
        <f t="shared" ref="J13" si="10">+SUM(J6:J12)</f>
        <v>81</v>
      </c>
      <c r="K13" s="260">
        <f>IF(J13&lt;=0,0,L13/J13)</f>
        <v>1917.6219753086441</v>
      </c>
      <c r="L13" s="261">
        <f t="shared" ref="L13" si="11">+SUM(L6:L12)</f>
        <v>155327.38000000018</v>
      </c>
      <c r="M13" s="262">
        <f>+SUM(M6:M12)</f>
        <v>-12</v>
      </c>
      <c r="N13" s="261">
        <f t="shared" ref="N13" si="12">+SUM(N6:N12)</f>
        <v>-58702.173322673298</v>
      </c>
      <c r="O13" s="262">
        <f>+SUM(O6:O12)</f>
        <v>78</v>
      </c>
      <c r="P13" s="260">
        <f>IF(O13&lt;=0,0,Q13/O13)</f>
        <v>2385.6808974358819</v>
      </c>
      <c r="Q13" s="261">
        <f t="shared" ref="Q13" si="13">+SUM(Q6:Q12)</f>
        <v>186083.10999999879</v>
      </c>
      <c r="R13" s="262">
        <f t="shared" ref="R13:S13" si="14">+SUM(R6:R12)</f>
        <v>3</v>
      </c>
      <c r="S13" s="261">
        <f t="shared" si="14"/>
        <v>-30755.729999998606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-0.12903225806451613</v>
      </c>
      <c r="N14" s="265">
        <f>IF(F13=0,0,N13/F13)</f>
        <v>-0.2742713443604361</v>
      </c>
      <c r="O14" s="253"/>
      <c r="P14" s="254"/>
      <c r="Q14" s="263"/>
      <c r="R14" s="264">
        <f>R13/O13</f>
        <v>3.8461538461538464E-2</v>
      </c>
      <c r="S14" s="265">
        <f>IF(Q13=0,0,(S13/Q13))</f>
        <v>-0.16527953557955263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1524.8245365854227</v>
      </c>
      <c r="F15" s="248" cm="1">
        <f t="array" ref="F15">+SUMPRODUCT(('Budget original'!$A$8:$A$501=$A15)*('Budget original'!$C$3:$AO$3=F$2),'Budget original'!$C$8:$AO$501)</f>
        <v>9148.9472195125363</v>
      </c>
      <c r="G15" s="267"/>
      <c r="H15" s="250"/>
      <c r="I15" s="248"/>
      <c r="J15" s="268">
        <f>-SUMIFS(BV_Data_An_Cour!$P:$P,BV_Data_An_Cour!$U:$U,$B15,BV_Data_An_Cour!$V:$V,$C15,BV_Data_An_Cour!$W:$W,J$2)</f>
        <v>2</v>
      </c>
      <c r="K15" s="269">
        <f>IF(J15=0,0,L15/J15)</f>
        <v>2602.0499999999956</v>
      </c>
      <c r="L15" s="269">
        <f>-SUMIFS(BV_Data_An_Cour!$P:$P,BV_Data_An_Cour!$U:$U,$B15,BV_Data_An_Cour!$V:$V,$C15,BV_Data_An_Cour!$W:$W,L$2)</f>
        <v>5204.0999999999913</v>
      </c>
      <c r="M15" s="267">
        <f>J15-D15</f>
        <v>-4</v>
      </c>
      <c r="N15" s="248">
        <f>L15-F15</f>
        <v>-3944.8472195125451</v>
      </c>
      <c r="O15" s="268" cm="1">
        <f t="array" ref="O15">+SUMPRODUCT(('Réel 2024'!$A$8:$A$501=$A15)*('Réel 2024'!$C$3:$AO$3=O$2),'Réel 2024'!$C$8:$AO$501)</f>
        <v>4</v>
      </c>
      <c r="P15" s="269">
        <f>IF(O15=0,0,Q15/O15)</f>
        <v>1985.1724999999974</v>
      </c>
      <c r="Q15" s="269" cm="1">
        <f t="array" ref="Q15">+SUMPRODUCT(('Réel 2024'!$A$8:$A$501=$A15)*('Réel 2024'!$C$3:$AO$3=Q$2),'Réel 2024'!$C$8:$AO$501)</f>
        <v>7940.6899999999896</v>
      </c>
      <c r="R15" s="267">
        <f>J15-O15</f>
        <v>-2</v>
      </c>
      <c r="S15" s="248">
        <f>L15-Q15</f>
        <v>-2736.5899999999983</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7</v>
      </c>
      <c r="E17" s="254">
        <f>IF(D17=0,0,F17/D17)</f>
        <v>1300.6851300000001</v>
      </c>
      <c r="F17" s="254" cm="1">
        <f t="array" ref="F17">+SUMPRODUCT(('Budget original'!$A$8:$A$501=$A17)*('Budget original'!$C$3:$AO$3=F$2),'Budget original'!$C$8:$AO$501)</f>
        <v>9104.7959100000007</v>
      </c>
      <c r="G17" s="255"/>
      <c r="H17" s="254"/>
      <c r="I17" s="254"/>
      <c r="J17" s="267">
        <f>-SUMIFS(BV_Data_An_Cour!$P:$P,BV_Data_An_Cour!$U:$U,$B17,BV_Data_An_Cour!$V:$V,$C17,BV_Data_An_Cour!$W:$W,J$2)</f>
        <v>13</v>
      </c>
      <c r="K17" s="254">
        <f>IF(J17=0,0,L17/J17)</f>
        <v>1119.2953846153821</v>
      </c>
      <c r="L17" s="256">
        <f>-SUMIFS(BV_Data_An_Cour!$P:$P,BV_Data_An_Cour!$U:$U,$B17,BV_Data_An_Cour!$V:$V,$C17,BV_Data_An_Cour!$W:$W,L$2)</f>
        <v>14550.839999999967</v>
      </c>
      <c r="M17" s="267">
        <f>J17-D17</f>
        <v>6</v>
      </c>
      <c r="N17" s="256">
        <f>L17-F17</f>
        <v>5446.0440899999667</v>
      </c>
      <c r="O17" s="267" cm="1">
        <f t="array" ref="O17">+SUMPRODUCT(('Réel 2024'!$A$8:$A$501=$A17)*('Réel 2024'!$C$3:$AO$3=O$2),'Réel 2024'!$C$8:$AO$501)</f>
        <v>12</v>
      </c>
      <c r="P17" s="254">
        <f>IF(O17=0,0,Q17/O17)</f>
        <v>2463.2191666666681</v>
      </c>
      <c r="Q17" s="256" cm="1">
        <f t="array" ref="Q17">+SUMPRODUCT(('Réel 2024'!$A$8:$A$501=$A17)*('Réel 2024'!$C$3:$AO$3=Q$2),'Réel 2024'!$C$8:$AO$501)</f>
        <v>29558.630000000019</v>
      </c>
      <c r="R17" s="255">
        <f>J17-O17</f>
        <v>1</v>
      </c>
      <c r="S17" s="256">
        <f>L17-Q17</f>
        <v>-15007.790000000052</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394320.49000000022</v>
      </c>
      <c r="Y18" s="459">
        <f t="shared" ref="Y18:Y19" si="15">+X18-W18</f>
        <v>394320.49000000022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13656.387665198239</v>
      </c>
      <c r="G19" s="255"/>
      <c r="H19" s="254"/>
      <c r="I19" s="254"/>
      <c r="J19" s="267"/>
      <c r="K19" s="254"/>
      <c r="L19" s="256">
        <f>-SUMIFS(BV_Data_An_Cour!$P:$P,BV_Data_An_Cour!$U:$U,$B19,BV_Data_An_Cour!$V:$V,$C19,BV_Data_An_Cour!$W:$W,L$2)</f>
        <v>8537.4500000000116</v>
      </c>
      <c r="M19" s="255"/>
      <c r="N19" s="256">
        <f>L19-F19</f>
        <v>-5118.9376651982275</v>
      </c>
      <c r="O19" s="267" cm="1">
        <f t="array" ref="O19">+SUMPRODUCT(('Réel 2024'!$A$8:$A$501=$A19)*('Réel 2024'!$C$3:$AO$3=O$2),'Réel 2024'!$C$8:$AO$501)</f>
        <v>0</v>
      </c>
      <c r="P19" s="254">
        <f>IF(O19=0,0,Q19/O19)</f>
        <v>0</v>
      </c>
      <c r="Q19" s="256" cm="1">
        <f t="array" ref="Q19">+SUMPRODUCT(('Réel 2024'!$A$8:$A$501=$A19)*('Réel 2024'!$C$3:$AO$3=Q$2),'Réel 2024'!$C$8:$AO$501)</f>
        <v>11706.45000000001</v>
      </c>
      <c r="R19" s="255">
        <f>O19-K19</f>
        <v>0</v>
      </c>
      <c r="S19" s="256">
        <f>L19-Q19</f>
        <v>-3168.9999999999982</v>
      </c>
      <c r="T19" s="41"/>
      <c r="U19" s="41"/>
      <c r="V19" s="41" t="s">
        <v>693</v>
      </c>
      <c r="W19" s="459">
        <f>+I194+I250+I314</f>
        <v>0</v>
      </c>
      <c r="X19" s="459">
        <f>+L194+L250+L314</f>
        <v>736331.22</v>
      </c>
      <c r="Y19" s="459">
        <f t="shared" si="15"/>
        <v>736331.22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4950</v>
      </c>
      <c r="G21" s="253"/>
      <c r="H21" s="254"/>
      <c r="I21" s="254"/>
      <c r="J21" s="255"/>
      <c r="K21" s="254">
        <f>IF(J13=0,0,L21/(J13+J15))</f>
        <v>27.293373493975903</v>
      </c>
      <c r="L21" s="256">
        <f>-SUMIFS(BV_Data_An_Cour!$P:$P,BV_Data_An_Cour!$U:$U,$B21,BV_Data_An_Cour!$V:$V,$C21,BV_Data_An_Cour!$W:$W,L$2)</f>
        <v>2265.35</v>
      </c>
      <c r="M21" s="255"/>
      <c r="N21" s="256">
        <f>L21-F21</f>
        <v>-2684.65</v>
      </c>
      <c r="O21" s="255"/>
      <c r="P21" s="254"/>
      <c r="Q21" s="256" cm="1">
        <f t="array" ref="Q21">+SUMPRODUCT(('Réel 2024'!$A$8:$A$501=$A21)*('Réel 2024'!$C$3:$AO$3=Q$2),'Réel 2024'!$C$8:$AO$501)</f>
        <v>615.35</v>
      </c>
      <c r="R21" s="255">
        <f t="shared" ref="R21:R23" si="16">O21-K21</f>
        <v>-27.293373493975903</v>
      </c>
      <c r="S21" s="256">
        <f t="shared" ref="S21:S24" si="17">L21-Q21</f>
        <v>1650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111870</v>
      </c>
      <c r="G22" s="253"/>
      <c r="H22" s="254"/>
      <c r="I22" s="254"/>
      <c r="J22" s="255"/>
      <c r="K22" s="254">
        <f>IF(J13=0,0,L22/(J13+J15))</f>
        <v>926.05120481927713</v>
      </c>
      <c r="L22" s="256">
        <f>-SUMIFS(BV_Data_An_Cour!$P:$P,BV_Data_An_Cour!$U:$U,$B22,BV_Data_An_Cour!$V:$V,$C22,BV_Data_An_Cour!$W:$W,L$2)</f>
        <v>76862.25</v>
      </c>
      <c r="M22" s="255"/>
      <c r="N22" s="256">
        <f>L22-F22</f>
        <v>-35007.75</v>
      </c>
      <c r="O22" s="255"/>
      <c r="P22" s="254"/>
      <c r="Q22" s="256" cm="1">
        <f t="array" ref="Q22">+SUMPRODUCT(('Réel 2024'!$A$8:$A$501=$A22)*('Réel 2024'!$C$3:$AO$3=Q$2),'Réel 2024'!$C$8:$AO$501)</f>
        <v>90465.41</v>
      </c>
      <c r="R22" s="255">
        <f t="shared" si="16"/>
        <v>-926.05120481927713</v>
      </c>
      <c r="S22" s="256">
        <f t="shared" si="17"/>
        <v>-13603.160000000003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1980</v>
      </c>
      <c r="G23" s="253"/>
      <c r="H23" s="254"/>
      <c r="I23" s="254"/>
      <c r="J23" s="255"/>
      <c r="K23" s="254">
        <f>IF(J13=0,0,L23/(J13+J15))</f>
        <v>17.996385542168674</v>
      </c>
      <c r="L23" s="256">
        <f>-SUMIFS(BV_Data_An_Cour!$P:$P,BV_Data_An_Cour!$U:$U,$B23,BV_Data_An_Cour!$V:$V,$C23,BV_Data_An_Cour!$W:$W,L$2)</f>
        <v>1493.7</v>
      </c>
      <c r="M23" s="267"/>
      <c r="N23" s="256">
        <f>L23-F23</f>
        <v>-486.29999999999995</v>
      </c>
      <c r="O23" s="255"/>
      <c r="P23" s="254"/>
      <c r="Q23" s="256" cm="1">
        <f t="array" ref="Q23">+SUMPRODUCT(('Réel 2024'!$A$8:$A$501=$A23)*('Réel 2024'!$C$3:$AO$3=Q$2),'Réel 2024'!$C$8:$AO$501)</f>
        <v>443.6</v>
      </c>
      <c r="R23" s="255">
        <f t="shared" si="16"/>
        <v>-17.996385542168674</v>
      </c>
      <c r="S23" s="256">
        <f t="shared" si="17"/>
        <v>1050.0999999999999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99</v>
      </c>
      <c r="E24" s="260">
        <f>IF(D24&lt;=0,0,F24/D24)</f>
        <v>1200</v>
      </c>
      <c r="F24" s="261">
        <f>F21+F22+F23</f>
        <v>118800</v>
      </c>
      <c r="G24" s="262"/>
      <c r="H24" s="260"/>
      <c r="I24" s="261"/>
      <c r="J24" s="262">
        <f>+J15+J13</f>
        <v>83</v>
      </c>
      <c r="K24" s="260">
        <f>IF(J24&lt;=0,0,L24/J24)</f>
        <v>971.34096385542171</v>
      </c>
      <c r="L24" s="261">
        <f>L21+L22+L23</f>
        <v>80621.3</v>
      </c>
      <c r="M24" s="275">
        <f>J24-D24</f>
        <v>-16</v>
      </c>
      <c r="N24" s="261">
        <f>L24-F24</f>
        <v>-38178.699999999997</v>
      </c>
      <c r="O24" s="262">
        <f>+O15+O13</f>
        <v>82</v>
      </c>
      <c r="P24" s="260">
        <f>IF(O24&lt;=0,0,Q24/O24)</f>
        <v>1116.1507317073172</v>
      </c>
      <c r="Q24" s="261">
        <f>Q21+Q22+Q23</f>
        <v>91524.360000000015</v>
      </c>
      <c r="R24" s="273"/>
      <c r="S24" s="261">
        <f t="shared" si="17"/>
        <v>-10903.060000000012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-0.32136952861952861</v>
      </c>
      <c r="O25" s="253"/>
      <c r="P25" s="41"/>
      <c r="Q25" s="276"/>
      <c r="R25" s="277"/>
      <c r="S25" s="265">
        <f>IF(Q24=0,0,(S24/Q24))</f>
        <v>-0.11912741045116305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106</v>
      </c>
      <c r="E27" s="280">
        <f>IF(D27&lt;=0,0,F27/D27)</f>
        <v>3440.9404162017381</v>
      </c>
      <c r="F27" s="281">
        <f>F13+F17+F24+F19+F15</f>
        <v>364739.68411738425</v>
      </c>
      <c r="G27" s="282"/>
      <c r="H27" s="280"/>
      <c r="I27" s="281"/>
      <c r="J27" s="282">
        <f>+J13+J15+J17</f>
        <v>96</v>
      </c>
      <c r="K27" s="280">
        <f>IF(J27&lt;=0,0,L27/J27)</f>
        <v>2752.5111458333345</v>
      </c>
      <c r="L27" s="281">
        <f>L13+L17+L24+L19+L15</f>
        <v>264241.07000000012</v>
      </c>
      <c r="M27" s="282">
        <f>J27-D27</f>
        <v>-10</v>
      </c>
      <c r="N27" s="281">
        <f>L27-F27</f>
        <v>-100498.61411738413</v>
      </c>
      <c r="O27" s="282">
        <f>+O13+O15+O17</f>
        <v>94</v>
      </c>
      <c r="P27" s="280">
        <f>IF(O27&lt;=0,0,Q27/O27)</f>
        <v>3476.7365957446682</v>
      </c>
      <c r="Q27" s="281">
        <f>Q13+Q17+Q24+Q19+Q15</f>
        <v>326813.23999999883</v>
      </c>
      <c r="R27" s="282">
        <f>J27-O27</f>
        <v>2</v>
      </c>
      <c r="S27" s="281">
        <f>L27-Q27</f>
        <v>-62572.169999998703</v>
      </c>
      <c r="T27" s="41"/>
      <c r="U27" s="41">
        <f>+S27/R27</f>
        <v>-31286.084999999352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0.72446482109404731</v>
      </c>
      <c r="M28" s="286">
        <f>M27/D27</f>
        <v>-9.4339622641509441E-2</v>
      </c>
      <c r="N28" s="287">
        <f>N27/F27</f>
        <v>-0.27553517890595264</v>
      </c>
      <c r="O28" s="283"/>
      <c r="P28" s="284"/>
      <c r="Q28" s="285"/>
      <c r="R28" s="286">
        <f>R27/O27</f>
        <v>2.1276595744680851E-2</v>
      </c>
      <c r="S28" s="287">
        <f>IF(Q27=0,0,S27/Q27)</f>
        <v>-0.19146155155769984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742.59080850596206</v>
      </c>
      <c r="F31" s="254" cm="1">
        <f t="array" ref="F31">+SUMPRODUCT(('Budget original'!$A$8:$A$501=$A31)*('Budget original'!$C$3:$AO$3=F$2),'Budget original'!$C$8:$AO$501)</f>
        <v>73516.490042090241</v>
      </c>
      <c r="G31" s="298"/>
      <c r="H31" s="291"/>
      <c r="I31" s="254"/>
      <c r="J31" s="292">
        <f>L31/(L13+L15+L17)</f>
        <v>0.41919663847269073</v>
      </c>
      <c r="K31" s="291">
        <f t="shared" ref="K31:K40" si="19">IF(L31=0,0,L31/J$24)</f>
        <v>884.26409638554219</v>
      </c>
      <c r="L31" s="254">
        <f>SUMIFS(BV_Data_An_Cour!$P:$P,BV_Data_An_Cour!$U:$U,$B31,BV_Data_An_Cour!$V:$V,$C31,BV_Data_An_Cour!$W:$W,L$2)</f>
        <v>73393.919999999998</v>
      </c>
      <c r="M31" s="253"/>
      <c r="N31" s="276">
        <f t="shared" ref="N31:N53" si="20">L31-F31</f>
        <v>-122.57004209024308</v>
      </c>
      <c r="O31" s="253"/>
      <c r="P31" s="291">
        <f t="shared" ref="P31:P40" si="21">Q31/O$24</f>
        <v>863.63036585365853</v>
      </c>
      <c r="Q31" s="256" cm="1">
        <f t="array" ref="Q31">+SUMPRODUCT(('Réel 2024'!$A$8:$A$501=$A31)*('Réel 2024'!$C$3:$AO$3=Q$2),'Réel 2024'!$C$8:$AO$501)</f>
        <v>70817.69</v>
      </c>
      <c r="R31" s="253"/>
      <c r="S31" s="276">
        <f t="shared" ref="S31:S41" si="22">L31-Q31</f>
        <v>2576.2299999999959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23760</v>
      </c>
      <c r="G32" s="300"/>
      <c r="H32" s="294"/>
      <c r="I32" s="248"/>
      <c r="J32" s="295">
        <f>L32/L24</f>
        <v>0.2404631282303808</v>
      </c>
      <c r="K32" s="294">
        <f t="shared" si="19"/>
        <v>233.57168674698795</v>
      </c>
      <c r="L32" s="248">
        <f>SUMIFS(BV_Data_An_Cour!$P:$P,BV_Data_An_Cour!$U:$U,$B32,BV_Data_An_Cour!$V:$V,$C32,BV_Data_An_Cour!$W:$W,L$2)</f>
        <v>19386.45</v>
      </c>
      <c r="M32" s="246"/>
      <c r="N32" s="296">
        <f t="shared" si="20"/>
        <v>-4373.5499999999993</v>
      </c>
      <c r="O32" s="246"/>
      <c r="P32" s="294">
        <f t="shared" si="21"/>
        <v>314.98951219512196</v>
      </c>
      <c r="Q32" s="248" cm="1">
        <f t="array" ref="Q32">+SUMPRODUCT(('Réel 2024'!$A$8:$A$501=$A32)*('Réel 2024'!$C$3:$AO$3=Q$2),'Réel 2024'!$C$8:$AO$501)</f>
        <v>25829.14</v>
      </c>
      <c r="R32" s="246"/>
      <c r="S32" s="296">
        <f t="shared" si="22"/>
        <v>-6442.6899999999987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11385</v>
      </c>
      <c r="G33" s="298"/>
      <c r="H33" s="291"/>
      <c r="I33" s="254"/>
      <c r="J33" s="253"/>
      <c r="K33" s="291">
        <f t="shared" si="19"/>
        <v>75.239999999999995</v>
      </c>
      <c r="L33" s="254">
        <f>SUMIFS(BV_Data_An_Cour!$P:$P,BV_Data_An_Cour!$U:$U,$B33,BV_Data_An_Cour!$V:$V,$C33,BV_Data_An_Cour!$W:$W,L$2)</f>
        <v>6244.92</v>
      </c>
      <c r="M33" s="253"/>
      <c r="N33" s="276">
        <f t="shared" si="20"/>
        <v>-5140.08</v>
      </c>
      <c r="O33" s="253"/>
      <c r="P33" s="291">
        <f t="shared" si="21"/>
        <v>92.425975609756108</v>
      </c>
      <c r="Q33" s="256" cm="1">
        <f t="array" ref="Q33">+SUMPRODUCT(('Réel 2024'!$A$8:$A$501=$A33)*('Réel 2024'!$C$3:$AO$3=Q$2),'Réel 2024'!$C$8:$AO$501)</f>
        <v>7578.93</v>
      </c>
      <c r="R33" s="253"/>
      <c r="S33" s="276">
        <f t="shared" si="22"/>
        <v>-1334.0100000000002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990</v>
      </c>
      <c r="G34" s="298"/>
      <c r="H34" s="291"/>
      <c r="I34" s="254"/>
      <c r="J34" s="253"/>
      <c r="K34" s="291">
        <f t="shared" si="19"/>
        <v>0</v>
      </c>
      <c r="L34" s="254">
        <f>SUMIFS(BV_Data_An_Cour!$P:$P,BV_Data_An_Cour!$U:$U,$B34,BV_Data_An_Cour!$V:$V,$C34,BV_Data_An_Cour!$W:$W,L$2)</f>
        <v>0</v>
      </c>
      <c r="M34" s="253"/>
      <c r="N34" s="276">
        <f t="shared" si="20"/>
        <v>-990</v>
      </c>
      <c r="O34" s="253"/>
      <c r="P34" s="291">
        <f t="shared" si="21"/>
        <v>13.049146341463414</v>
      </c>
      <c r="Q34" s="256" cm="1">
        <f t="array" ref="Q34">+SUMPRODUCT(('Réel 2024'!$A$8:$A$501=$A34)*('Réel 2024'!$C$3:$AO$3=Q$2),'Réel 2024'!$C$8:$AO$501)</f>
        <v>1070.03</v>
      </c>
      <c r="R34" s="253"/>
      <c r="S34" s="276">
        <f t="shared" si="22"/>
        <v>-1070.03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11880</v>
      </c>
      <c r="G35" s="300"/>
      <c r="H35" s="294"/>
      <c r="I35" s="248"/>
      <c r="J35" s="246"/>
      <c r="K35" s="294">
        <f t="shared" si="19"/>
        <v>153.67253012048192</v>
      </c>
      <c r="L35" s="248">
        <f>SUMIFS(BV_Data_An_Cour!$P:$P,BV_Data_An_Cour!$U:$U,$B35,BV_Data_An_Cour!$V:$V,$C35,BV_Data_An_Cour!$W:$W,L$2)</f>
        <v>12754.82</v>
      </c>
      <c r="M35" s="246"/>
      <c r="N35" s="296">
        <f t="shared" si="20"/>
        <v>874.81999999999971</v>
      </c>
      <c r="O35" s="246"/>
      <c r="P35" s="294">
        <f t="shared" si="21"/>
        <v>175.64902439024391</v>
      </c>
      <c r="Q35" s="256" cm="1">
        <f t="array" ref="Q35">+SUMPRODUCT(('Réel 2024'!$A$8:$A$501=$A35)*('Réel 2024'!$C$3:$AO$3=Q$2),'Réel 2024'!$C$8:$AO$501)</f>
        <v>14403.220000000001</v>
      </c>
      <c r="R35" s="246"/>
      <c r="S35" s="296">
        <f t="shared" si="22"/>
        <v>-1648.4000000000015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114.05050505050505</v>
      </c>
      <c r="F36" s="254" cm="1">
        <f t="array" ref="F36">+SUMPRODUCT(('Budget original'!$A$8:$A$501=$A36)*('Budget original'!$C$3:$AO$3=F$2),'Budget original'!$C$8:$AO$501)</f>
        <v>11291</v>
      </c>
      <c r="G36" s="298"/>
      <c r="H36" s="291"/>
      <c r="I36" s="254"/>
      <c r="J36" s="253"/>
      <c r="K36" s="291">
        <f t="shared" si="19"/>
        <v>78.260963855421679</v>
      </c>
      <c r="L36" s="301">
        <f>SUMIFS(BV_Data_An_Cour!$P:$P,BV_Data_An_Cour!$U:$U,$B36,BV_Data_An_Cour!$V:$V,$C36,BV_Data_An_Cour!$W:$W,L$2)</f>
        <v>6495.66</v>
      </c>
      <c r="M36" s="41"/>
      <c r="N36" s="276">
        <f t="shared" si="20"/>
        <v>-4795.34</v>
      </c>
      <c r="O36" s="253"/>
      <c r="P36" s="291">
        <f t="shared" si="21"/>
        <v>109.31243902439023</v>
      </c>
      <c r="Q36" s="272" cm="1">
        <f t="array" ref="Q36">+SUMPRODUCT(('Réel 2024'!$A$8:$A$501=$A36)*('Réel 2024'!$C$3:$AO$3=Q$2),'Réel 2024'!$C$8:$AO$501)</f>
        <v>8963.619999999999</v>
      </c>
      <c r="R36" s="253"/>
      <c r="S36" s="276">
        <f t="shared" si="22"/>
        <v>-2467.9599999999991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411.48795920921236</v>
      </c>
      <c r="F37" s="254" cm="1">
        <f t="array" ref="F37">+SUMPRODUCT(('Budget original'!$A$8:$A$501=$A37)*('Budget original'!$C$3:$AO$3=F$2),'Budget original'!$C$8:$AO$501)</f>
        <v>40737.307961712024</v>
      </c>
      <c r="G37" s="298"/>
      <c r="H37" s="291"/>
      <c r="I37" s="254"/>
      <c r="J37" s="253"/>
      <c r="K37" s="291">
        <f t="shared" si="19"/>
        <v>588.67686746987954</v>
      </c>
      <c r="L37" s="894">
        <f>SUMIFS(BV_Data_An_Cour!$P:$P,BV_Data_An_Cour!$U:$U,$B37,BV_Data_An_Cour!$V:$V,$C37,BV_Data_An_Cour!$W:$W,L$2)</f>
        <v>48860.18</v>
      </c>
      <c r="M37" s="929"/>
      <c r="N37" s="904">
        <f t="shared" si="20"/>
        <v>8122.8720382879765</v>
      </c>
      <c r="O37" s="253"/>
      <c r="P37" s="291">
        <f t="shared" si="21"/>
        <v>190.27499999999998</v>
      </c>
      <c r="Q37" s="256" cm="1">
        <f t="array" ref="Q37">+SUMPRODUCT(('Réel 2024'!$A$8:$A$501=$A37)*('Réel 2024'!$C$3:$AO$3=Q$2),'Réel 2024'!$C$8:$AO$501)</f>
        <v>15602.549999999997</v>
      </c>
      <c r="R37" s="253"/>
      <c r="S37" s="276">
        <f t="shared" si="22"/>
        <v>33257.630000000005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0.47584566626960573</v>
      </c>
      <c r="F41" s="307">
        <f>SUM(F31:F40)</f>
        <v>173559.79800380225</v>
      </c>
      <c r="G41" s="308"/>
      <c r="H41" s="306"/>
      <c r="I41" s="307"/>
      <c r="J41" s="308" t="s">
        <v>119</v>
      </c>
      <c r="K41" s="306">
        <f>L41/L$27</f>
        <v>0.63251314415279924</v>
      </c>
      <c r="L41" s="307">
        <f>SUM(L31:L40)</f>
        <v>167135.94999999998</v>
      </c>
      <c r="M41" s="309"/>
      <c r="N41" s="307">
        <f t="shared" si="20"/>
        <v>-6423.8480038022681</v>
      </c>
      <c r="O41" s="308" t="s">
        <v>119</v>
      </c>
      <c r="P41" s="306">
        <f>Q41/Q$27</f>
        <v>0.44143003508670736</v>
      </c>
      <c r="Q41" s="310">
        <f>SUM(Q31:Q40)</f>
        <v>144265.18</v>
      </c>
      <c r="R41" s="311"/>
      <c r="S41" s="307">
        <f t="shared" si="22"/>
        <v>22870.76999999999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47195.273397435893</v>
      </c>
      <c r="G42" s="253"/>
      <c r="H42" s="41"/>
      <c r="I42" s="254"/>
      <c r="J42" s="253"/>
      <c r="K42" s="41"/>
      <c r="L42" s="256">
        <f>SUMIFS(BV_Data_An_Cour!$P:$P,BV_Data_An_Cour!$U:$U,$B42,BV_Data_An_Cour!$V:$V,$C42,BV_Data_An_Cour!$W:$W,L$2)</f>
        <v>28112.77</v>
      </c>
      <c r="M42" s="253"/>
      <c r="N42" s="276">
        <f t="shared" si="20"/>
        <v>-19082.503397435892</v>
      </c>
      <c r="O42" s="253"/>
      <c r="P42" s="41"/>
      <c r="Q42" s="256" cm="1">
        <f t="array" ref="Q42">+SUMPRODUCT(('Réel 2024'!$A$8:$A$501=$A42)*('Réel 2024'!$C$3:$AO$3=Q$2),'Réel 2024'!$C$8:$AO$501)</f>
        <v>43746.58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33579.553670937436</v>
      </c>
      <c r="G43" s="298"/>
      <c r="H43" s="41"/>
      <c r="I43" s="248"/>
      <c r="J43" s="253"/>
      <c r="K43" s="604"/>
      <c r="L43" s="256">
        <f>SUMIFS(BV_Data_An_Cour!$P:$P,BV_Data_An_Cour!$U:$U,$B43,BV_Data_An_Cour!$V:$V,$C43,BV_Data_An_Cour!$W:$W,L$2)</f>
        <v>37496.14</v>
      </c>
      <c r="M43" s="253"/>
      <c r="N43" s="276">
        <f t="shared" si="20"/>
        <v>3916.5863290625639</v>
      </c>
      <c r="O43" s="253"/>
      <c r="P43" s="41"/>
      <c r="Q43" s="256" cm="1">
        <f t="array" ref="Q43">+SUMPRODUCT(('Réel 2024'!$A$8:$A$501=$A43)*('Réel 2024'!$C$3:$AO$3=Q$2),'Réel 2024'!$C$8:$AO$501)</f>
        <v>25305.45</v>
      </c>
      <c r="R43" s="253"/>
      <c r="S43" s="276">
        <f t="shared" ref="S43:S53" si="23">L43-Q43</f>
        <v>12190.689999999999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9432.69</v>
      </c>
      <c r="M44" s="241"/>
      <c r="N44" s="317">
        <f t="shared" si="20"/>
        <v>9090.84</v>
      </c>
      <c r="O44" s="241"/>
      <c r="P44" s="315"/>
      <c r="Q44" s="272" cm="1">
        <f t="array" ref="Q44">+SUMPRODUCT(('Réel 2024'!$A$8:$A$501=$A44)*('Réel 2024'!$C$3:$AO$3=Q$2),'Réel 2024'!$C$8:$AO$501)</f>
        <v>4064</v>
      </c>
      <c r="R44" s="241"/>
      <c r="S44" s="317">
        <f t="shared" si="23"/>
        <v>5368.6900000000005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21091.464173751512</v>
      </c>
      <c r="G49" s="298"/>
      <c r="H49" s="41"/>
      <c r="I49" s="248"/>
      <c r="J49" s="253"/>
      <c r="K49" s="41"/>
      <c r="L49" s="248">
        <f>SUMIFS(BV_Data_An_Cour!$P:$P,BV_Data_An_Cour!$U:$U,$B49,BV_Data_An_Cour!$V:$V,$C49,BV_Data_An_Cour!$W:$W,L$2)</f>
        <v>26370.6</v>
      </c>
      <c r="M49" s="253"/>
      <c r="N49" s="276">
        <f t="shared" si="20"/>
        <v>5279.1358262484864</v>
      </c>
      <c r="O49" s="253"/>
      <c r="P49" s="41"/>
      <c r="Q49" s="248" cm="1">
        <f t="array" ref="Q49">+SUMPRODUCT(('Réel 2024'!$A$8:$A$501=$A49)*('Réel 2024'!$C$3:$AO$3=Q$2),'Réel 2024'!$C$8:$AO$501)</f>
        <v>20242.23</v>
      </c>
      <c r="R49" s="253"/>
      <c r="S49" s="276">
        <f t="shared" si="23"/>
        <v>6128.369999999999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25644.247189230911</v>
      </c>
      <c r="G50" s="316"/>
      <c r="H50" s="315"/>
      <c r="I50" s="254"/>
      <c r="J50" s="241"/>
      <c r="K50" s="315"/>
      <c r="L50" s="256">
        <f>SUMIFS(BV_Data_An_Cour!$P:$P,BV_Data_An_Cour!$U:$U,$B50,BV_Data_An_Cour!$V:$V,$C50,BV_Data_An_Cour!$W:$W,L$2)</f>
        <v>26510.21</v>
      </c>
      <c r="M50" s="241"/>
      <c r="N50" s="317">
        <f t="shared" si="20"/>
        <v>865.96281076908781</v>
      </c>
      <c r="O50" s="241"/>
      <c r="P50" s="315"/>
      <c r="Q50" s="256" cm="1">
        <f t="array" ref="Q50">+SUMPRODUCT(('Réel 2024'!$A$8:$A$501=$A50)*('Réel 2024'!$C$3:$AO$3=Q$2),'Réel 2024'!$C$8:$AO$501)</f>
        <v>27025.08</v>
      </c>
      <c r="R50" s="241"/>
      <c r="S50" s="317">
        <f t="shared" si="23"/>
        <v>-514.87000000000262</v>
      </c>
      <c r="T50" s="41"/>
      <c r="U50" s="254">
        <f>L50-Print_Mois!L50</f>
        <v>17127.449999999997</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13212.362138799403</v>
      </c>
      <c r="G51" s="298"/>
      <c r="H51" s="41"/>
      <c r="I51" s="254"/>
      <c r="J51" s="253"/>
      <c r="K51" s="41"/>
      <c r="L51" s="256">
        <f>SUMIFS(BV_Data_An_Cour!$P:$P,BV_Data_An_Cour!$U:$U,$B51,BV_Data_An_Cour!$V:$V,$C51,BV_Data_An_Cour!$W:$W,L$2)</f>
        <v>10740.41</v>
      </c>
      <c r="M51" s="253"/>
      <c r="N51" s="276">
        <f t="shared" si="20"/>
        <v>-2471.9521387994027</v>
      </c>
      <c r="O51" s="253"/>
      <c r="P51" s="41"/>
      <c r="Q51" s="256" cm="1">
        <f t="array" ref="Q51">+SUMPRODUCT(('Réel 2024'!$A$8:$A$501=$A51)*('Réel 2024'!$C$3:$AO$3=Q$2),'Réel 2024'!$C$8:$AO$501)</f>
        <v>12146.81</v>
      </c>
      <c r="R51" s="253"/>
      <c r="S51" s="276">
        <f t="shared" si="23"/>
        <v>-1406.3999999999996</v>
      </c>
      <c r="T51" s="41"/>
      <c r="U51" s="254">
        <f>L51-Print_Mois!L51</f>
        <v>5474.78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5760.6642236678126</v>
      </c>
      <c r="G52" s="298"/>
      <c r="H52" s="41"/>
      <c r="I52" s="254"/>
      <c r="J52" s="253"/>
      <c r="K52" s="41"/>
      <c r="L52" s="256">
        <f>SUMIFS(BV_Data_An_Cour!$P:$P,BV_Data_An_Cour!$U:$U,$B52,BV_Data_An_Cour!$V:$V,$C52,BV_Data_An_Cour!$W:$W,L$2)</f>
        <v>5041.37</v>
      </c>
      <c r="M52" s="253"/>
      <c r="N52" s="276">
        <f t="shared" si="20"/>
        <v>-719.29422366781273</v>
      </c>
      <c r="O52" s="253"/>
      <c r="P52" s="41"/>
      <c r="Q52" s="256" cm="1">
        <f t="array" ref="Q52">+SUMPRODUCT(('Réel 2024'!$A$8:$A$501=$A52)*('Réel 2024'!$C$3:$AO$3=Q$2),'Réel 2024'!$C$8:$AO$501)</f>
        <v>5792.7</v>
      </c>
      <c r="R52" s="253"/>
      <c r="S52" s="276">
        <f t="shared" si="23"/>
        <v>-751.32999999999993</v>
      </c>
      <c r="T52" s="41"/>
      <c r="U52" s="254">
        <f>L52-Print_Mois!L52</f>
        <v>2768.75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0.40254850565306216</v>
      </c>
      <c r="F54" s="307">
        <f>+SUM(F42:F53)</f>
        <v>146825.41479382297</v>
      </c>
      <c r="G54" s="308"/>
      <c r="H54" s="306"/>
      <c r="I54" s="307"/>
      <c r="J54" s="308" t="s">
        <v>119</v>
      </c>
      <c r="K54" s="306">
        <f>L54/L$27</f>
        <v>0.54383745115776261</v>
      </c>
      <c r="L54" s="307">
        <f>+SUM(L42:L53)</f>
        <v>143704.19</v>
      </c>
      <c r="M54" s="311"/>
      <c r="N54" s="307">
        <f>+SUM(N42:N53)</f>
        <v>-3121.2247938229693</v>
      </c>
      <c r="O54" s="308" t="s">
        <v>119</v>
      </c>
      <c r="P54" s="306">
        <f>Q54/Q$27</f>
        <v>0.42324738740694995</v>
      </c>
      <c r="Q54" s="307">
        <f>+SUM(Q42:Q53)</f>
        <v>138322.85</v>
      </c>
      <c r="R54" s="311"/>
      <c r="S54" s="307">
        <f>+SUM(S42:S53)</f>
        <v>21015.149999999994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15117.96</v>
      </c>
      <c r="M57" s="246"/>
      <c r="N57" s="296">
        <f t="shared" si="24"/>
        <v>-2787.1358666666674</v>
      </c>
      <c r="O57" s="246"/>
      <c r="P57" s="318"/>
      <c r="Q57" s="248" cm="1">
        <f t="array" ref="Q57">+SUMPRODUCT(('Réel 2024'!$A$8:$A$501=$A57)*('Réel 2024'!$C$3:$AO$3=Q$2),'Réel 2024'!$C$8:$AO$501)</f>
        <v>21482.36</v>
      </c>
      <c r="R57" s="246"/>
      <c r="S57" s="296">
        <f t="shared" si="25"/>
        <v>-6364.4000000000015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16884</v>
      </c>
      <c r="G58" s="298"/>
      <c r="H58" s="41"/>
      <c r="I58" s="254"/>
      <c r="J58" s="253"/>
      <c r="K58" s="41"/>
      <c r="L58" s="256">
        <f>SUMIFS(BV_Data_An_Cour!$P:$P,BV_Data_An_Cour!$U:$U,$B58,BV_Data_An_Cour!$V:$V,$C58,BV_Data_An_Cour!$W:$W,L$2)</f>
        <v>15513.72</v>
      </c>
      <c r="M58" s="253"/>
      <c r="N58" s="276">
        <f t="shared" si="24"/>
        <v>-1370.2800000000007</v>
      </c>
      <c r="O58" s="253"/>
      <c r="P58" s="41"/>
      <c r="Q58" s="256" cm="1">
        <f t="array" ref="Q58">+SUMPRODUCT(('Réel 2024'!$A$8:$A$501=$A58)*('Réel 2024'!$C$3:$AO$3=Q$2),'Réel 2024'!$C$8:$AO$501)</f>
        <v>12521.07</v>
      </c>
      <c r="R58" s="253"/>
      <c r="S58" s="276">
        <f t="shared" si="25"/>
        <v>2992.6499999999996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3000</v>
      </c>
      <c r="G59" s="298"/>
      <c r="H59" s="41"/>
      <c r="I59" s="254"/>
      <c r="J59" s="253"/>
      <c r="K59" s="41"/>
      <c r="L59" s="256">
        <f>SUMIFS(BV_Data_An_Cour!$P:$P,BV_Data_An_Cour!$U:$U,$B59,BV_Data_An_Cour!$V:$V,$C59,BV_Data_An_Cour!$W:$W,L$2)</f>
        <v>1321.79</v>
      </c>
      <c r="M59" s="253"/>
      <c r="N59" s="276">
        <f t="shared" si="24"/>
        <v>-1678.21</v>
      </c>
      <c r="O59" s="253"/>
      <c r="P59" s="41"/>
      <c r="Q59" s="256" cm="1">
        <f t="array" ref="Q59">+SUMPRODUCT(('Réel 2024'!$A$8:$A$501=$A59)*('Réel 2024'!$C$3:$AO$3=Q$2),'Réel 2024'!$C$8:$AO$501)</f>
        <v>2807.36</v>
      </c>
      <c r="R59" s="253"/>
      <c r="S59" s="276">
        <f t="shared" si="25"/>
        <v>-1485.5700000000002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9658.24</v>
      </c>
      <c r="G60" s="300"/>
      <c r="H60" s="318"/>
      <c r="I60" s="248"/>
      <c r="J60" s="246"/>
      <c r="K60" s="318"/>
      <c r="L60" s="248">
        <f>SUMIFS(BV_Data_An_Cour!$P:$P,BV_Data_An_Cour!$U:$U,$B60,BV_Data_An_Cour!$V:$V,$C60,BV_Data_An_Cour!$W:$W,L$2)</f>
        <v>12824.99</v>
      </c>
      <c r="M60" s="246"/>
      <c r="N60" s="296">
        <f t="shared" si="24"/>
        <v>3166.75</v>
      </c>
      <c r="O60" s="246"/>
      <c r="P60" s="318"/>
      <c r="Q60" s="248" cm="1">
        <f t="array" ref="Q60">+SUMPRODUCT(('Réel 2024'!$A$8:$A$501=$A60)*('Réel 2024'!$C$3:$AO$3=Q$2),'Réel 2024'!$C$8:$AO$501)</f>
        <v>15468.970000000001</v>
      </c>
      <c r="R60" s="246"/>
      <c r="S60" s="296">
        <f t="shared" si="25"/>
        <v>-2643.9800000000014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140</v>
      </c>
      <c r="G61" s="298"/>
      <c r="H61" s="41"/>
      <c r="I61" s="254"/>
      <c r="J61" s="253"/>
      <c r="K61" s="41"/>
      <c r="L61" s="256">
        <f>SUMIFS(BV_Data_An_Cour!$P:$P,BV_Data_An_Cour!$U:$U,$B61,BV_Data_An_Cour!$V:$V,$C61,BV_Data_An_Cour!$W:$W,L$2)</f>
        <v>0</v>
      </c>
      <c r="M61" s="253"/>
      <c r="N61" s="276">
        <f t="shared" si="24"/>
        <v>-140</v>
      </c>
      <c r="O61" s="253"/>
      <c r="P61" s="41"/>
      <c r="Q61" s="256" cm="1">
        <f t="array" ref="Q61">+SUMPRODUCT(('Réel 2024'!$A$8:$A$501=$A61)*('Réel 2024'!$C$3:$AO$3=Q$2),'Réel 2024'!$C$8:$AO$501)</f>
        <v>165.98</v>
      </c>
      <c r="R61" s="253"/>
      <c r="S61" s="276">
        <f t="shared" si="25"/>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1190</v>
      </c>
      <c r="G63" s="298"/>
      <c r="H63" s="41"/>
      <c r="I63" s="254"/>
      <c r="J63" s="253"/>
      <c r="K63" s="41"/>
      <c r="L63" s="256">
        <f>SUMIFS(BV_Data_An_Cour!$P:$P,BV_Data_An_Cour!$U:$U,$B63,BV_Data_An_Cour!$V:$V,$C63,BV_Data_An_Cour!$W:$W,L$2)</f>
        <v>584.08000000000004</v>
      </c>
      <c r="M63" s="253"/>
      <c r="N63" s="276">
        <f t="shared" si="24"/>
        <v>-605.91999999999996</v>
      </c>
      <c r="O63" s="253"/>
      <c r="P63" s="41"/>
      <c r="Q63" s="256" cm="1">
        <f t="array" ref="Q63">+SUMPRODUCT(('Réel 2024'!$A$8:$A$501=$A63)*('Réel 2024'!$C$3:$AO$3=Q$2),'Réel 2024'!$C$8:$AO$501)</f>
        <v>1203.68</v>
      </c>
      <c r="R63" s="253"/>
      <c r="S63" s="276">
        <f t="shared" si="25"/>
        <v>-619.6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875</v>
      </c>
      <c r="G64" s="298"/>
      <c r="H64" s="41"/>
      <c r="I64" s="254"/>
      <c r="J64" s="253"/>
      <c r="K64" s="41"/>
      <c r="L64" s="256">
        <f>SUMIFS(BV_Data_An_Cour!$P:$P,BV_Data_An_Cour!$U:$U,$B64,BV_Data_An_Cour!$V:$V,$C64,BV_Data_An_Cour!$W:$W,L$2)</f>
        <v>910.39</v>
      </c>
      <c r="M64" s="253"/>
      <c r="N64" s="276">
        <f t="shared" si="24"/>
        <v>35.389999999999986</v>
      </c>
      <c r="O64" s="253"/>
      <c r="P64" s="41"/>
      <c r="Q64" s="256" cm="1">
        <f t="array" ref="Q64">+SUMPRODUCT(('Réel 2024'!$A$8:$A$501=$A64)*('Réel 2024'!$C$3:$AO$3=Q$2),'Réel 2024'!$C$8:$AO$501)</f>
        <v>909.41000000000008</v>
      </c>
      <c r="R64" s="253"/>
      <c r="S64" s="276">
        <f t="shared" si="25"/>
        <v>0.9799999999999045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455.84</v>
      </c>
      <c r="G65" s="298"/>
      <c r="H65" s="41"/>
      <c r="I65" s="254"/>
      <c r="J65" s="253"/>
      <c r="K65" s="41"/>
      <c r="L65" s="256">
        <f>SUMIFS(BV_Data_An_Cour!$P:$P,BV_Data_An_Cour!$U:$U,$B65,BV_Data_An_Cour!$V:$V,$C65,BV_Data_An_Cour!$W:$W,L$2)</f>
        <v>502.22</v>
      </c>
      <c r="M65" s="253"/>
      <c r="N65" s="276">
        <f t="shared" si="24"/>
        <v>46.380000000000052</v>
      </c>
      <c r="O65" s="253"/>
      <c r="P65" s="41"/>
      <c r="Q65" s="256" cm="1">
        <f t="array" ref="Q65">+SUMPRODUCT(('Réel 2024'!$A$8:$A$501=$A65)*('Réel 2024'!$C$3:$AO$3=Q$2),'Réel 2024'!$C$8:$AO$501)</f>
        <v>1173.6999999999998</v>
      </c>
      <c r="R65" s="253"/>
      <c r="S65" s="276">
        <f t="shared" si="25"/>
        <v>-671.47999999999979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240</v>
      </c>
      <c r="G66" s="298"/>
      <c r="H66" s="41"/>
      <c r="I66" s="254"/>
      <c r="J66" s="253"/>
      <c r="K66" s="41"/>
      <c r="L66" s="256">
        <f>SUMIFS(BV_Data_An_Cour!$P:$P,BV_Data_An_Cour!$U:$U,$B66,BV_Data_An_Cour!$V:$V,$C66,BV_Data_An_Cour!$W:$W,L$2)</f>
        <v>550.59</v>
      </c>
      <c r="M66" s="253"/>
      <c r="N66" s="276">
        <f t="shared" si="24"/>
        <v>310.59000000000003</v>
      </c>
      <c r="O66" s="253"/>
      <c r="P66" s="41"/>
      <c r="Q66" s="256" cm="1">
        <f t="array" ref="Q66">+SUMPRODUCT(('Réel 2024'!$A$8:$A$501=$A66)*('Réel 2024'!$C$3:$AO$3=Q$2),'Réel 2024'!$C$8:$AO$501)</f>
        <v>160.63</v>
      </c>
      <c r="R66" s="253"/>
      <c r="S66" s="276">
        <f t="shared" si="25"/>
        <v>389.96000000000004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3833.3333333333335</v>
      </c>
      <c r="G67" s="298"/>
      <c r="H67" s="41"/>
      <c r="I67" s="254"/>
      <c r="J67" s="253"/>
      <c r="K67" s="41"/>
      <c r="L67" s="256">
        <f>SUMIFS(BV_Data_An_Cour!$P:$P,BV_Data_An_Cour!$U:$U,$B67,BV_Data_An_Cour!$V:$V,$C67,BV_Data_An_Cour!$W:$W,L$2)</f>
        <v>9881.7900000000009</v>
      </c>
      <c r="M67" s="253"/>
      <c r="N67" s="276">
        <f t="shared" si="24"/>
        <v>6048.4566666666669</v>
      </c>
      <c r="O67" s="253"/>
      <c r="P67" s="41"/>
      <c r="Q67" s="256" cm="1">
        <f t="array" ref="Q67">+SUMPRODUCT(('Réel 2024'!$A$8:$A$501=$A67)*('Réel 2024'!$C$3:$AO$3=Q$2),'Réel 2024'!$C$8:$AO$501)</f>
        <v>2966.6899999999996</v>
      </c>
      <c r="R67" s="253"/>
      <c r="S67" s="276">
        <f t="shared" si="25"/>
        <v>6915.1000000000013</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5663.404686418764</v>
      </c>
      <c r="G68" s="298"/>
      <c r="H68" s="41"/>
      <c r="I68" s="254"/>
      <c r="J68" s="253"/>
      <c r="K68" s="41"/>
      <c r="L68" s="895">
        <f>SUMIFS(BV_Data_An_Cour!$P:$P,BV_Data_An_Cour!$U:$U,$B68,BV_Data_An_Cour!$V:$V,$C68,BV_Data_An_Cour!$W:$W,L$2)</f>
        <v>9371.2800000000007</v>
      </c>
      <c r="M68" s="930"/>
      <c r="N68" s="904">
        <f t="shared" si="24"/>
        <v>3707.8753135812367</v>
      </c>
      <c r="O68" s="253"/>
      <c r="P68" s="41"/>
      <c r="Q68" s="256" cm="1">
        <f t="array" ref="Q68">+SUMPRODUCT(('Réel 2024'!$A$8:$A$501=$A68)*('Réel 2024'!$C$3:$AO$3=Q$2),'Réel 2024'!$C$8:$AO$501)</f>
        <v>4968.16</v>
      </c>
      <c r="R68" s="253"/>
      <c r="S68" s="276">
        <f t="shared" si="25"/>
        <v>4403.1200000000008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0.16407568600941941</v>
      </c>
      <c r="F72" s="307">
        <f>+SUM(F55:F71)</f>
        <v>59844.913886418763</v>
      </c>
      <c r="G72" s="308"/>
      <c r="H72" s="306"/>
      <c r="I72" s="307"/>
      <c r="J72" s="308" t="s">
        <v>119</v>
      </c>
      <c r="K72" s="306">
        <f>L72/L$27</f>
        <v>0.25196238419712713</v>
      </c>
      <c r="L72" s="307">
        <f>+SUM(L55:L71)</f>
        <v>66578.81</v>
      </c>
      <c r="M72" s="311"/>
      <c r="N72" s="307">
        <f>+SUM(N55:N71)</f>
        <v>6733.8961135812351</v>
      </c>
      <c r="O72" s="308" t="s">
        <v>119</v>
      </c>
      <c r="P72" s="306">
        <f>Q72/Q$27</f>
        <v>0.1972105230498013</v>
      </c>
      <c r="Q72" s="307">
        <f>+SUM(Q55:Q71)</f>
        <v>64451.010000000009</v>
      </c>
      <c r="R72" s="311"/>
      <c r="S72" s="307">
        <f>+SUM(S55:S71)</f>
        <v>2127.8000000000002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1.0424698579320872</v>
      </c>
      <c r="F74" s="307">
        <f>F41+F54+F72</f>
        <v>380230.12668404396</v>
      </c>
      <c r="G74" s="308"/>
      <c r="H74" s="306"/>
      <c r="I74" s="307"/>
      <c r="J74" s="308" t="s">
        <v>119</v>
      </c>
      <c r="K74" s="306">
        <f>L74/L$27</f>
        <v>1.428312979507689</v>
      </c>
      <c r="L74" s="307">
        <f>L41+L54+L72</f>
        <v>377418.95</v>
      </c>
      <c r="M74" s="311"/>
      <c r="N74" s="320">
        <f t="shared" ref="N74:N82" si="26">L74-F74</f>
        <v>-2811.1766840439523</v>
      </c>
      <c r="O74" s="308" t="s">
        <v>119</v>
      </c>
      <c r="P74" s="306">
        <f>Q74/Q$27</f>
        <v>1.0618879455434587</v>
      </c>
      <c r="Q74" s="307">
        <f>Q41+Q54+Q72</f>
        <v>347039.04000000004</v>
      </c>
      <c r="R74" s="311"/>
      <c r="S74" s="320">
        <f>L74-Q74</f>
        <v>30379.909999999974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29700</v>
      </c>
      <c r="M75" s="253"/>
      <c r="N75" s="276">
        <f t="shared" si="26"/>
        <v>29700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130965.70820062955</v>
      </c>
      <c r="G78" s="298"/>
      <c r="H78" s="41"/>
      <c r="I78" s="254"/>
      <c r="J78" s="253"/>
      <c r="K78" s="41"/>
      <c r="L78" s="256">
        <f>-SUMIFS(BV_Data_An_Cour!$P:$P,BV_Data_An_Cour!$U:$U,$B78,BV_Data_An_Cour!$V:$V,$C78,BV_Data_An_Cour!$W:$W,L$2)</f>
        <v>138717</v>
      </c>
      <c r="M78" s="253"/>
      <c r="N78" s="276">
        <f t="shared" si="26"/>
        <v>7751.2917993704468</v>
      </c>
      <c r="O78" s="253"/>
      <c r="P78" s="41"/>
      <c r="Q78" s="256" cm="1">
        <f t="array" ref="Q78">+SUMPRODUCT(('Réel 2024'!$A$8:$A$501=$A78)*('Réel 2024'!$C$3:$AO$3=Q$2),'Réel 2024'!$C$8:$AO$501)</f>
        <v>130200</v>
      </c>
      <c r="R78" s="253"/>
      <c r="S78" s="276">
        <f t="shared" si="27"/>
        <v>8517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45049.95</v>
      </c>
      <c r="G82" s="298"/>
      <c r="H82" s="41"/>
      <c r="I82" s="254"/>
      <c r="J82" s="253"/>
      <c r="K82" s="41"/>
      <c r="L82" s="256">
        <f>-SUMIFS(BV_Data_An_Cour!$P:$P,BV_Data_An_Cour!$U:$U,$B82,BV_Data_An_Cour!$V:$V,$C82,BV_Data_An_Cour!$W:$W,L$2)</f>
        <v>43017</v>
      </c>
      <c r="M82" s="253"/>
      <c r="N82" s="276">
        <f t="shared" si="26"/>
        <v>-2032.9499999999971</v>
      </c>
      <c r="O82" s="253"/>
      <c r="P82" s="41"/>
      <c r="Q82" s="256" cm="1">
        <f t="array" ref="Q82">+SUMPRODUCT(('Réel 2024'!$A$8:$A$501=$A82)*('Réel 2024'!$C$3:$AO$3=Q$2),'Réel 2024'!$C$8:$AO$501)</f>
        <v>40482</v>
      </c>
      <c r="R82" s="253"/>
      <c r="S82" s="276">
        <f t="shared" si="27"/>
        <v>2535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176015.65820062955</v>
      </c>
      <c r="G83" s="308"/>
      <c r="H83" s="306"/>
      <c r="I83" s="307"/>
      <c r="J83" s="308"/>
      <c r="K83" s="306"/>
      <c r="L83" s="307">
        <f>+SUM(L75:L82)</f>
        <v>211434</v>
      </c>
      <c r="M83" s="311"/>
      <c r="N83" s="307">
        <f>+SUM(N75:N82)</f>
        <v>35418.34179937045</v>
      </c>
      <c r="O83" s="308"/>
      <c r="P83" s="306"/>
      <c r="Q83" s="307">
        <f>+SUM(Q75:Q82)</f>
        <v>170682</v>
      </c>
      <c r="R83" s="311"/>
      <c r="S83" s="307">
        <f>+SUM(S75:S82)</f>
        <v>11052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160525.21563396984</v>
      </c>
      <c r="G85" s="336"/>
      <c r="H85" s="334"/>
      <c r="I85" s="335"/>
      <c r="J85" s="336"/>
      <c r="K85" s="333"/>
      <c r="L85" s="335">
        <f>L27-L74+L83</f>
        <v>98256.120000000112</v>
      </c>
      <c r="M85" s="336"/>
      <c r="N85" s="335">
        <f>N27-N41-N54-N72+N83</f>
        <v>-62269.095633969671</v>
      </c>
      <c r="O85" s="336"/>
      <c r="P85" s="333"/>
      <c r="Q85" s="335">
        <f>Q27-Q74+Q83</f>
        <v>150456.19999999879</v>
      </c>
      <c r="R85" s="336"/>
      <c r="S85" s="335">
        <f>L85-Q85</f>
        <v>-52200.079999998678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7" t="s">
        <v>343</v>
      </c>
      <c r="E91" s="1298"/>
      <c r="F91" s="1299"/>
      <c r="G91" s="1302"/>
      <c r="H91" s="1298"/>
      <c r="I91" s="1299"/>
      <c r="J91" s="1302" t="s">
        <v>344</v>
      </c>
      <c r="K91" s="1298"/>
      <c r="L91" s="1299"/>
      <c r="M91" s="1302" t="s">
        <v>3310</v>
      </c>
      <c r="N91" s="1299"/>
      <c r="O91" s="1297" t="s">
        <v>345</v>
      </c>
      <c r="P91" s="1298"/>
      <c r="Q91" s="1299"/>
      <c r="R91" s="1300" t="s">
        <v>3312</v>
      </c>
      <c r="S91" s="130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1987723.7981441461</v>
      </c>
      <c r="G93" s="267"/>
      <c r="H93" s="250"/>
      <c r="I93" s="248"/>
      <c r="J93" s="246"/>
      <c r="K93" s="250"/>
      <c r="L93" s="248">
        <f>-SUMIFS(BV_Data_An_Cour!$P:$P,BV_Data_An_Cour!$X:$X,"Oui",BV_Data_An_Cour!$U:$U,$B93)</f>
        <v>1940008.92</v>
      </c>
      <c r="M93" s="342"/>
      <c r="N93" s="343"/>
      <c r="O93" s="246"/>
      <c r="P93" s="250"/>
      <c r="Q93" s="248" cm="1">
        <f t="array" ref="Q93">+SUMPRODUCT(('Réel 2024'!$A$8:$A$501=$A93)*('Réel 2024'!$C$3:$AO$3=Q$2),'Réel 2024'!$C$8:$AO$501)</f>
        <v>1473869.5099999998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41</v>
      </c>
      <c r="E94" s="254">
        <f t="shared" ref="E94:E100" si="29">IF(D94=0,0,F94/D94)</f>
        <v>1500</v>
      </c>
      <c r="F94" s="254" cm="1">
        <f t="array" ref="F94">+SUMPRODUCT(('Budget original'!$A$8:$A$501=$A94)*('Budget original'!$C$3:$AO$3=F$2),'Budget original'!$C$8:$AO$501)</f>
        <v>61500</v>
      </c>
      <c r="G94" s="255"/>
      <c r="H94" s="254"/>
      <c r="I94" s="254"/>
      <c r="J94" s="255">
        <f>-SUMIFS(BV_Data_An_Cour!$P:$P,BV_Data_An_Cour!$U:$U,$B94,BV_Data_An_Cour!$V:$V,$C94,BV_Data_An_Cour!$W:$W,J$2)</f>
        <v>51</v>
      </c>
      <c r="K94" s="254">
        <f t="shared" ref="K94:K95" si="30">IF(J94=0,0,L94/J94)</f>
        <v>66.319215686276195</v>
      </c>
      <c r="L94" s="256">
        <f>-SUMIFS(BV_Data_An_Cour!$P:$P,BV_Data_An_Cour!$U:$U,$B94,BV_Data_An_Cour!$V:$V,$C94,BV_Data_An_Cour!$W:$W,$L2)</f>
        <v>3382.2800000000861</v>
      </c>
      <c r="M94" s="255">
        <f>J94-D94</f>
        <v>10</v>
      </c>
      <c r="N94" s="256">
        <f>L94-F94</f>
        <v>-58117.719999999914</v>
      </c>
      <c r="O94" s="255" cm="1">
        <f t="array" ref="O94">+SUMPRODUCT(('Réel 2024'!$A$8:$A$501=$A94)*('Réel 2024'!$C$3:$AO$3=O$2),'Réel 2024'!$C$8:$AO$501)</f>
        <v>31</v>
      </c>
      <c r="P94" s="254">
        <f t="shared" ref="P94:P100" si="31">IF(O94=0,0,Q94/O94)</f>
        <v>1622.0987096774161</v>
      </c>
      <c r="Q94" s="256" cm="1">
        <f t="array" ref="Q94">+SUMPRODUCT(('Réel 2024'!$A$8:$A$501=$A94)*('Réel 2024'!$C$3:$AO$3=Q$2),'Réel 2024'!$C$8:$AO$501)</f>
        <v>50285.059999999896</v>
      </c>
      <c r="R94" s="255">
        <f t="shared" ref="R94:R95" si="32">J94-O94</f>
        <v>20</v>
      </c>
      <c r="S94" s="256">
        <f t="shared" ref="S94:S95" si="33">L94-Q94</f>
        <v>-46902.77999999981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12</v>
      </c>
      <c r="E95" s="1020">
        <f t="shared" si="29"/>
        <v>1500</v>
      </c>
      <c r="F95" s="254" cm="1">
        <f t="array" ref="F95">+SUMPRODUCT(('Budget original'!$A$8:$A$501=$A95)*('Budget original'!$C$3:$AO$3=F$2),'Budget original'!$C$8:$AO$501)</f>
        <v>18000</v>
      </c>
      <c r="G95" s="255"/>
      <c r="H95" s="254"/>
      <c r="I95" s="254"/>
      <c r="J95" s="255">
        <f>-SUMIFS(BV_Data_An_Cour!$P:$P,BV_Data_An_Cour!$U:$U,$B95,BV_Data_An_Cour!$V:$V,$C95,BV_Data_An_Cour!$W:$W,J$2)</f>
        <v>0</v>
      </c>
      <c r="K95" s="254">
        <f t="shared" si="30"/>
        <v>0</v>
      </c>
      <c r="L95" s="256">
        <f>-SUMIFS(BV_Data_An_Cour!$P:$P,BV_Data_An_Cour!$U:$U,$B95,BV_Data_An_Cour!$V:$V,$C95,BV_Data_An_Cour!$W:$W,$L2)</f>
        <v>-3046.86</v>
      </c>
      <c r="M95" s="255">
        <f>J95-D95</f>
        <v>-12</v>
      </c>
      <c r="N95" s="256">
        <f>L95-F95</f>
        <v>-21046.86</v>
      </c>
      <c r="O95" s="255" cm="1">
        <f t="array" ref="O95">+SUMPRODUCT(('Réel 2024'!$A$8:$A$501=$A95)*('Réel 2024'!$C$3:$AO$3=O$2),'Réel 2024'!$C$8:$AO$501)</f>
        <v>6</v>
      </c>
      <c r="P95" s="254">
        <f t="shared" si="31"/>
        <v>662.9716666666651</v>
      </c>
      <c r="Q95" s="256" cm="1">
        <f t="array" ref="Q95">+SUMPRODUCT(('Réel 2024'!$A$8:$A$501=$A95)*('Réel 2024'!$C$3:$AO$3=Q$2),'Réel 2024'!$C$8:$AO$501)</f>
        <v>3977.8299999999908</v>
      </c>
      <c r="R95" s="255">
        <f t="shared" si="32"/>
        <v>-6</v>
      </c>
      <c r="S95" s="256">
        <f t="shared" si="33"/>
        <v>-7024.6899999999914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12</v>
      </c>
      <c r="E96" s="1022">
        <f t="shared" si="29"/>
        <v>1500</v>
      </c>
      <c r="F96" s="254" cm="1">
        <f t="array" ref="F96">+SUMPRODUCT(('Budget original'!$A$8:$A$501=$A96)*('Budget original'!$C$3:$AO$3=F$2),'Budget original'!$C$8:$AO$501)</f>
        <v>18000</v>
      </c>
      <c r="G96" s="1021"/>
      <c r="H96" s="254"/>
      <c r="I96" s="254"/>
      <c r="J96" s="1021">
        <f>-SUMIFS(BV_Data_An_Cour!$P:$P,BV_Data_An_Cour!$U:$U,$B96,BV_Data_An_Cour!$V:$V,$C96,BV_Data_An_Cour!$W:$W,J$2)</f>
        <v>2</v>
      </c>
      <c r="K96" s="254">
        <f t="shared" ref="K96" si="34">IF(J96=0,0,L96/J96)</f>
        <v>3401.5250000000015</v>
      </c>
      <c r="L96" s="895">
        <f>-SUMIFS(BV_Data_An_Cour!$P:$P,BV_Data_An_Cour!$U:$U,$B96,BV_Data_An_Cour!$V:$V,$C96,BV_Data_An_Cour!$W:$W,$L2)</f>
        <v>6803.0500000000029</v>
      </c>
      <c r="M96" s="1021">
        <f>J96-D96</f>
        <v>-10</v>
      </c>
      <c r="N96" s="895">
        <f>L96-F96</f>
        <v>-11196.949999999997</v>
      </c>
      <c r="O96" s="1021" cm="1">
        <f t="array" ref="O96">+SUMPRODUCT(('Réel 2024'!$A$8:$A$501=$A96)*('Réel 2024'!$C$3:$AO$3=O$2),'Réel 2024'!$C$8:$AO$501)</f>
        <v>4</v>
      </c>
      <c r="P96" s="254">
        <f t="shared" si="31"/>
        <v>1630.2999999999975</v>
      </c>
      <c r="Q96" s="895" cm="1">
        <f t="array" ref="Q96">+SUMPRODUCT(('Réel 2024'!$A$8:$A$501=$A96)*('Réel 2024'!$C$3:$AO$3=Q$2),'Réel 2024'!$C$8:$AO$501)</f>
        <v>6521.1999999999898</v>
      </c>
      <c r="R96" s="1021">
        <f>J96-O96</f>
        <v>-2</v>
      </c>
      <c r="S96" s="895">
        <f t="shared" ref="S96" si="35">L96-Q96</f>
        <v>281.8500000000131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65</v>
      </c>
      <c r="E97" s="254">
        <f t="shared" si="29"/>
        <v>1500</v>
      </c>
      <c r="F97" s="261">
        <f>+F94+F95+F96</f>
        <v>97500</v>
      </c>
      <c r="G97" s="262"/>
      <c r="H97" s="260"/>
      <c r="I97" s="261"/>
      <c r="J97" s="262">
        <f>+J94+J95+J96</f>
        <v>53</v>
      </c>
      <c r="K97" s="260">
        <f>IF(J97&lt;=0,0,L97/J97)</f>
        <v>134.68811320754884</v>
      </c>
      <c r="L97" s="261">
        <f>+L94+L95+L96</f>
        <v>7138.4700000000885</v>
      </c>
      <c r="M97" s="262">
        <f>J97-D97</f>
        <v>-12</v>
      </c>
      <c r="N97" s="261">
        <f>L97-F97</f>
        <v>-90361.529999999912</v>
      </c>
      <c r="O97" s="262">
        <f>+O95+O94+O96</f>
        <v>41</v>
      </c>
      <c r="P97" s="260">
        <f t="shared" si="31"/>
        <v>1482.5387804878019</v>
      </c>
      <c r="Q97" s="261">
        <f>+Q94+Q95+Q96</f>
        <v>60784.089999999873</v>
      </c>
      <c r="R97" s="262">
        <f>R94+R95</f>
        <v>14</v>
      </c>
      <c r="S97" s="261">
        <f>S94+S95</f>
        <v>-53927.469999999797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-0.18461538461538463</v>
      </c>
      <c r="N98" s="265">
        <f>N97/F97</f>
        <v>-0.92678492307692217</v>
      </c>
      <c r="O98" s="253"/>
      <c r="P98" s="41">
        <f t="shared" si="31"/>
        <v>0</v>
      </c>
      <c r="Q98" s="263"/>
      <c r="R98" s="264">
        <f>R97/O97</f>
        <v>0.34146341463414637</v>
      </c>
      <c r="S98" s="265">
        <f>IF(Q97=0,0,(S97/Q97))</f>
        <v>-0.88719712674813278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25</v>
      </c>
      <c r="E100" s="254">
        <f t="shared" si="29"/>
        <v>500</v>
      </c>
      <c r="F100" s="254" cm="1">
        <f t="array" ref="F100">+SUMPRODUCT(('Budget original'!$A$8:$A$501=$A100)*('Budget original'!$C$3:$AO$3=F$2),'Budget original'!$C$8:$AO$501)</f>
        <v>12500</v>
      </c>
      <c r="G100" s="254"/>
      <c r="H100" s="254"/>
      <c r="I100" s="254"/>
      <c r="J100" s="255">
        <f>-SUMIFS(BV_Data_An_Cour!$P:$P,BV_Data_An_Cour!$U:$U,$B100,BV_Data_An_Cour!$V:$V,$C100,BV_Data_An_Cour!$W:$W,J$2)</f>
        <v>43</v>
      </c>
      <c r="K100" s="254">
        <f t="shared" si="36"/>
        <v>1045.440465116279</v>
      </c>
      <c r="L100" s="256">
        <f>-SUMIFS(BV_Data_An_Cour!$P:$P,BV_Data_An_Cour!$U:$U,$B100,BV_Data_An_Cour!$V:$V,$C100,BV_Data_An_Cour!$W:$W,L$2)</f>
        <v>44953.94</v>
      </c>
      <c r="M100" s="255">
        <f>J100-D100</f>
        <v>18</v>
      </c>
      <c r="N100" s="256">
        <f>L100-F100</f>
        <v>32453.940000000002</v>
      </c>
      <c r="O100" s="255" cm="1">
        <f t="array" ref="O100">+SUMPRODUCT(('Réel 2024'!$A$8:$A$501=$A100)*('Réel 2024'!$C$3:$AO$3=O$2),'Réel 2024'!$C$8:$AO$501)</f>
        <v>29</v>
      </c>
      <c r="P100" s="254">
        <f t="shared" si="31"/>
        <v>481.72206896551796</v>
      </c>
      <c r="Q100" s="256" cm="1">
        <f t="array" ref="Q100">+SUMPRODUCT(('Réel 2024'!$A$8:$A$501=$A100)*('Réel 2024'!$C$3:$AO$3=Q$2),'Réel 2024'!$C$8:$AO$501)</f>
        <v>13969.940000000021</v>
      </c>
      <c r="R100" s="255">
        <f t="shared" si="37"/>
        <v>14</v>
      </c>
      <c r="S100" s="256">
        <f t="shared" si="38"/>
        <v>30983.999999999982</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22750</v>
      </c>
      <c r="G102" s="255"/>
      <c r="H102" s="254"/>
      <c r="I102" s="254"/>
      <c r="J102" s="255"/>
      <c r="K102" s="254">
        <f>IF(J97=0,0,L102/J97)</f>
        <v>218.76716981132074</v>
      </c>
      <c r="L102" s="256">
        <f>-SUMIFS(BV_Data_An_Cour!$P:$P,BV_Data_An_Cour!$U:$U,$B102,BV_Data_An_Cour!$V:$V,$C102,BV_Data_An_Cour!$W:$W,$L2)</f>
        <v>11594.66</v>
      </c>
      <c r="M102" s="255"/>
      <c r="N102" s="256">
        <f>L102-F102</f>
        <v>-11155.34</v>
      </c>
      <c r="O102" s="255" cm="1">
        <f t="array" ref="O102">+SUMPRODUCT(('Réel 2024'!$A$8:$A$501=$A102)*('Réel 2024'!$C$3:$AO$3=O$2),'Réel 2024'!$C$8:$AO$501)</f>
        <v>0</v>
      </c>
      <c r="P102" s="254">
        <f t="shared" ref="P102:P105" si="40">IF(O102=0,0,Q102/O102)</f>
        <v>0</v>
      </c>
      <c r="Q102" s="256" cm="1">
        <f t="array" ref="Q102">+SUMPRODUCT(('Réel 2024'!$A$8:$A$501=$A102)*('Réel 2024'!$C$3:$AO$3=Q$2),'Réel 2024'!$C$8:$AO$501)</f>
        <v>12504.279999999999</v>
      </c>
      <c r="R102" s="255">
        <f t="shared" ref="R102:R104" si="41">O102-K102</f>
        <v>-218.76716981132074</v>
      </c>
      <c r="S102" s="256">
        <f t="shared" ref="S102:S105" si="42">L102-Q102</f>
        <v>-909.61999999999898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104000</v>
      </c>
      <c r="G103" s="255"/>
      <c r="H103" s="254"/>
      <c r="I103" s="254"/>
      <c r="J103" s="255"/>
      <c r="K103" s="254">
        <f>IF(J97=0,0,L103/J97)</f>
        <v>1231.6924528301886</v>
      </c>
      <c r="L103" s="256">
        <f>-SUMIFS(BV_Data_An_Cour!$P:$P,BV_Data_An_Cour!$U:$U,$B103,BV_Data_An_Cour!$V:$V,$C103,BV_Data_An_Cour!$W:$W,$L2)</f>
        <v>65279.7</v>
      </c>
      <c r="M103" s="255"/>
      <c r="N103" s="256">
        <f>L103-F103</f>
        <v>-38720.300000000003</v>
      </c>
      <c r="O103" s="255" cm="1">
        <f t="array" ref="O103">+SUMPRODUCT(('Réel 2024'!$A$8:$A$501=$A103)*('Réel 2024'!$C$3:$AO$3=O$2),'Réel 2024'!$C$8:$AO$501)</f>
        <v>0</v>
      </c>
      <c r="P103" s="254">
        <f t="shared" si="40"/>
        <v>0</v>
      </c>
      <c r="Q103" s="256" cm="1">
        <f t="array" ref="Q103">+SUMPRODUCT(('Réel 2024'!$A$8:$A$501=$A103)*('Réel 2024'!$C$3:$AO$3=Q$2),'Réel 2024'!$C$8:$AO$501)</f>
        <v>57666.6</v>
      </c>
      <c r="R103" s="255">
        <f t="shared" si="41"/>
        <v>-1231.6924528301886</v>
      </c>
      <c r="S103" s="256">
        <f t="shared" si="42"/>
        <v>7613.0999999999985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3250</v>
      </c>
      <c r="G104" s="255"/>
      <c r="H104" s="250"/>
      <c r="I104" s="254"/>
      <c r="J104" s="255"/>
      <c r="K104" s="250">
        <f>IF(J97=0,0,L104/J97)</f>
        <v>20.993396226415097</v>
      </c>
      <c r="L104" s="256">
        <f>-SUMIFS(BV_Data_An_Cour!$P:$P,BV_Data_An_Cour!$U:$U,$B104,BV_Data_An_Cour!$V:$V,$C104,BV_Data_An_Cour!$W:$W,$L$2)</f>
        <v>1112.6500000000001</v>
      </c>
      <c r="M104" s="267"/>
      <c r="N104" s="256">
        <f>L104-F104</f>
        <v>-2137.35</v>
      </c>
      <c r="O104" s="255" cm="1">
        <f t="array" ref="O104">+SUMPRODUCT(('Réel 2024'!$A$8:$A$501=$A104)*('Réel 2024'!$C$3:$AO$3=O$2),'Réel 2024'!$C$8:$AO$501)</f>
        <v>4</v>
      </c>
      <c r="P104" s="250">
        <f t="shared" si="40"/>
        <v>195.69749999999999</v>
      </c>
      <c r="Q104" s="256" cm="1">
        <f t="array" ref="Q104">+SUMPRODUCT(('Réel 2024'!$A$8:$A$501=$A104)*('Réel 2024'!$C$3:$AO$3=Q$2),'Réel 2024'!$C$8:$AO$501)</f>
        <v>782.79</v>
      </c>
      <c r="R104" s="255">
        <f t="shared" si="41"/>
        <v>-16.993396226415097</v>
      </c>
      <c r="S104" s="256">
        <f t="shared" si="42"/>
        <v>329.86000000000013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65</v>
      </c>
      <c r="E105" s="254">
        <f t="shared" si="39"/>
        <v>2000</v>
      </c>
      <c r="F105" s="261">
        <f>F102+F103+F104</f>
        <v>130000</v>
      </c>
      <c r="G105" s="262"/>
      <c r="H105" s="260"/>
      <c r="I105" s="261"/>
      <c r="J105" s="262">
        <f>J97</f>
        <v>53</v>
      </c>
      <c r="K105" s="260">
        <f>IF(J105&lt;=0,0,L105/J105)</f>
        <v>1471.4530188679244</v>
      </c>
      <c r="L105" s="261">
        <f>L102+L103+L104</f>
        <v>77987.009999999995</v>
      </c>
      <c r="M105" s="255">
        <f>J105-D105</f>
        <v>-12</v>
      </c>
      <c r="N105" s="261">
        <f>L105-F105</f>
        <v>-52012.990000000005</v>
      </c>
      <c r="O105" s="262">
        <f>O97</f>
        <v>41</v>
      </c>
      <c r="P105" s="260">
        <f t="shared" si="40"/>
        <v>1730.5773170731707</v>
      </c>
      <c r="Q105" s="261">
        <f>Q102+Q103+Q104</f>
        <v>70953.67</v>
      </c>
      <c r="R105" s="273"/>
      <c r="S105" s="261">
        <f t="shared" si="42"/>
        <v>7033.3399999999965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-0.4000999230769231</v>
      </c>
      <c r="O106" s="253"/>
      <c r="P106" s="41"/>
      <c r="Q106" s="276"/>
      <c r="R106" s="277"/>
      <c r="S106" s="265">
        <f>IF(Q105=0,0,(S105/Q105))</f>
        <v>9.9125809841830545E-2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90</v>
      </c>
      <c r="E108" s="350">
        <f>IF(D108&lt;=0,0,F108/D108)</f>
        <v>2666.6666666666665</v>
      </c>
      <c r="F108" s="281">
        <f>F97+F105+F100</f>
        <v>240000</v>
      </c>
      <c r="G108" s="282"/>
      <c r="H108" s="350"/>
      <c r="I108" s="281"/>
      <c r="J108" s="282">
        <f>J97+J100</f>
        <v>96</v>
      </c>
      <c r="K108" s="350">
        <f>IF(J108&lt;=0,0,L108/J108)</f>
        <v>1354.9939583333341</v>
      </c>
      <c r="L108" s="281">
        <f>L97+L105+L100</f>
        <v>130079.42000000009</v>
      </c>
      <c r="M108" s="282">
        <f>J108-D108</f>
        <v>6</v>
      </c>
      <c r="N108" s="281">
        <f>L108-F108</f>
        <v>-109920.57999999991</v>
      </c>
      <c r="O108" s="282">
        <f>O97+O100</f>
        <v>70</v>
      </c>
      <c r="P108" s="350">
        <f>IF(O108&lt;=0,0,Q108/O108)</f>
        <v>2081.5385714285699</v>
      </c>
      <c r="Q108" s="281">
        <f>Q97+Q105+Q100</f>
        <v>145707.6999999999</v>
      </c>
      <c r="R108" s="282">
        <f>J108-O108</f>
        <v>26</v>
      </c>
      <c r="S108" s="281">
        <f>L108-Q108</f>
        <v>-15628.27999999981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0.5419975833333337</v>
      </c>
      <c r="M109" s="286">
        <f>M108/D108</f>
        <v>6.6666666666666666E-2</v>
      </c>
      <c r="N109" s="287">
        <f>N108/F108</f>
        <v>-0.4580024166666663</v>
      </c>
      <c r="O109" s="283"/>
      <c r="P109" s="284"/>
      <c r="Q109" s="285"/>
      <c r="R109" s="286">
        <f>O108/R108</f>
        <v>2.6923076923076925</v>
      </c>
      <c r="S109" s="352">
        <f>IF(Q108=0,0,(S108/Q108))</f>
        <v>-0.10725774959044594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0.32743589743589746</v>
      </c>
      <c r="E112" s="291">
        <f t="shared" ref="E112:E121" si="43">F112/D$97</f>
        <v>491.15384615384613</v>
      </c>
      <c r="F112" s="254" cm="1">
        <f t="array" ref="F112">+SUMPRODUCT(('Budget original'!$A$8:$A$501=$A112)*('Budget original'!$C$3:$AO$3=F$2),'Budget original'!$C$8:$AO$501)</f>
        <v>31925</v>
      </c>
      <c r="G112" s="298"/>
      <c r="H112" s="291"/>
      <c r="I112" s="254"/>
      <c r="J112" s="292">
        <f>+L112/L97</f>
        <v>2.6854409978608529</v>
      </c>
      <c r="K112" s="291">
        <f>IF($J$97=0,0,L112/(J$94+J$95+J96))</f>
        <v>361.69698113207545</v>
      </c>
      <c r="L112" s="256">
        <f>SUMIFS(BV_Data_An_Cour!$P:$P,BV_Data_An_Cour!$U:$U,$B112,BV_Data_An_Cour!$V:$V,$C112,BV_Data_An_Cour!$W:$W,$L$2)</f>
        <v>19169.939999999999</v>
      </c>
      <c r="M112" s="253"/>
      <c r="N112" s="276">
        <f t="shared" ref="N112:N153" si="44">L112-F112</f>
        <v>-12755.060000000001</v>
      </c>
      <c r="O112" s="253">
        <f>Q112/Q97</f>
        <v>0.38266625361998591</v>
      </c>
      <c r="P112" s="291">
        <f t="shared" ref="P112:P121" si="45">Q112/O$97</f>
        <v>567.31756097560981</v>
      </c>
      <c r="Q112" s="256" cm="1">
        <f t="array" ref="Q112">+SUMPRODUCT(('Réel 2024'!$A$8:$A$501=$A112)*('Réel 2024'!$C$3:$AO$3=Q$2),'Réel 2024'!$C$8:$AO$501)</f>
        <v>23260.02</v>
      </c>
      <c r="R112" s="253"/>
      <c r="S112" s="276">
        <f t="shared" ref="S112:S122" si="46">L112-Q112</f>
        <v>-4090.0800000000017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0.23619748543391603</v>
      </c>
      <c r="E113" s="294">
        <f t="shared" si="43"/>
        <v>522.01965435445618</v>
      </c>
      <c r="F113" s="248" cm="1">
        <f t="array" ref="F113">+SUMPRODUCT(('Budget original'!$A$8:$A$501=$A113)*('Budget original'!$C$3:$AO$3=F$2),'Budget original'!$C$8:$AO$501)</f>
        <v>33931.277533039654</v>
      </c>
      <c r="G113" s="300"/>
      <c r="H113" s="294"/>
      <c r="I113" s="248"/>
      <c r="J113" s="295">
        <f>L113/L105</f>
        <v>0.3081876071412406</v>
      </c>
      <c r="K113" s="294">
        <f>IF($J$97=0,0,L113/(J$94+J$95+J96))</f>
        <v>453.48358490566039</v>
      </c>
      <c r="L113" s="256">
        <f>SUMIFS(BV_Data_An_Cour!$P:$P,BV_Data_An_Cour!$U:$U,$B113,BV_Data_An_Cour!$V:$V,$C113,BV_Data_An_Cour!$W:$W,$L$2)</f>
        <v>24034.63</v>
      </c>
      <c r="M113" s="246"/>
      <c r="N113" s="296">
        <f t="shared" si="44"/>
        <v>-9896.6475330396534</v>
      </c>
      <c r="O113" s="246">
        <f>Q113/(Q105+Q19)</f>
        <v>0.24124075793744307</v>
      </c>
      <c r="P113" s="294">
        <f t="shared" si="45"/>
        <v>486.36560975609751</v>
      </c>
      <c r="Q113" s="256" cm="1">
        <f t="array" ref="Q113">+SUMPRODUCT(('Réel 2024'!$A$8:$A$501=$A113)*('Réel 2024'!$C$3:$AO$3=Q$2),'Réel 2024'!$C$8:$AO$501)</f>
        <v>19940.989999999998</v>
      </c>
      <c r="R113" s="246"/>
      <c r="S113" s="296">
        <f t="shared" si="46"/>
        <v>4093.6400000000031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520</v>
      </c>
      <c r="G114" s="298"/>
      <c r="H114" s="291"/>
      <c r="I114" s="254"/>
      <c r="J114" s="253"/>
      <c r="K114" s="291">
        <f>IF($J$97=0,0,L114/(J$94+J$95+J96))</f>
        <v>-30.549245283018866</v>
      </c>
      <c r="L114" s="272">
        <f>SUMIFS(BV_Data_An_Cour!$P:$P,BV_Data_An_Cour!$U:$U,$B114,BV_Data_An_Cour!$V:$V,$C114,BV_Data_An_Cour!$W:$W,$L$2)</f>
        <v>-1619.11</v>
      </c>
      <c r="M114" s="253"/>
      <c r="N114" s="276">
        <f t="shared" si="44"/>
        <v>-2139.1099999999997</v>
      </c>
      <c r="O114" s="253"/>
      <c r="P114" s="291">
        <f t="shared" si="45"/>
        <v>-26.246585365853655</v>
      </c>
      <c r="Q114" s="272" cm="1">
        <f t="array" ref="Q114">+SUMPRODUCT(('Réel 2024'!$A$8:$A$501=$A114)*('Réel 2024'!$C$3:$AO$3=Q$2),'Réel 2024'!$C$8:$AO$501)</f>
        <v>-1076.1099999999999</v>
      </c>
      <c r="R114" s="253"/>
      <c r="S114" s="276">
        <f t="shared" si="46"/>
        <v>-543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3250</v>
      </c>
      <c r="G115" s="298"/>
      <c r="H115" s="291"/>
      <c r="I115" s="254"/>
      <c r="J115" s="253"/>
      <c r="K115" s="291">
        <f>IF($J$97=0,0,L115/(J$94+J$95+J96))</f>
        <v>68.635471698113207</v>
      </c>
      <c r="L115" s="256">
        <f>SUMIFS(BV_Data_An_Cour!$P:$P,BV_Data_An_Cour!$U:$U,$B115,BV_Data_An_Cour!$V:$V,$C115,BV_Data_An_Cour!$W:$W,$L$2)</f>
        <v>3637.68</v>
      </c>
      <c r="M115" s="253"/>
      <c r="N115" s="276">
        <f t="shared" si="44"/>
        <v>387.67999999999984</v>
      </c>
      <c r="O115" s="253"/>
      <c r="P115" s="291">
        <f t="shared" si="45"/>
        <v>33.623414634146343</v>
      </c>
      <c r="Q115" s="256" cm="1">
        <f t="array" ref="Q115">+SUMPRODUCT(('Réel 2024'!$A$8:$A$501=$A115)*('Réel 2024'!$C$3:$AO$3=Q$2),'Réel 2024'!$C$8:$AO$501)</f>
        <v>1378.56</v>
      </c>
      <c r="R115" s="253"/>
      <c r="S115" s="276">
        <f t="shared" si="46"/>
        <v>2259.12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11050</v>
      </c>
      <c r="G116" s="300"/>
      <c r="H116" s="294"/>
      <c r="I116" s="248"/>
      <c r="J116" s="246"/>
      <c r="K116" s="294">
        <f>IF($J$97=0,0,L116/(J$94+J$95+J96))</f>
        <v>243.01849056603774</v>
      </c>
      <c r="L116" s="248">
        <f>SUMIFS(BV_Data_An_Cour!$P:$P,BV_Data_An_Cour!$U:$U,$B116,BV_Data_An_Cour!$V:$V,$C116,BV_Data_An_Cour!$W:$W,$L$2)</f>
        <v>12879.98</v>
      </c>
      <c r="M116" s="246"/>
      <c r="N116" s="296">
        <f t="shared" si="44"/>
        <v>1829.9799999999996</v>
      </c>
      <c r="O116" s="246"/>
      <c r="P116" s="294">
        <f t="shared" si="45"/>
        <v>124.86975609756097</v>
      </c>
      <c r="Q116" s="248" cm="1">
        <f t="array" ref="Q116">+SUMPRODUCT(('Réel 2024'!$A$8:$A$501=$A116)*('Réel 2024'!$C$3:$AO$3=Q$2),'Réel 2024'!$C$8:$AO$501)</f>
        <v>5119.66</v>
      </c>
      <c r="R116" s="246"/>
      <c r="S116" s="296">
        <f t="shared" si="46"/>
        <v>7760.32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360.71538461538461</v>
      </c>
      <c r="F117" s="254" cm="1">
        <f t="array" ref="F117">+SUMPRODUCT(('Budget original'!$A$8:$A$501=$A117)*('Budget original'!$C$3:$AO$3=F$2),'Budget original'!$C$8:$AO$501)</f>
        <v>23446.5</v>
      </c>
      <c r="G117" s="298"/>
      <c r="H117" s="291"/>
      <c r="I117" s="254"/>
      <c r="J117" s="253"/>
      <c r="K117" s="291">
        <f>IF($J$97=0,0,L117/(J$94+J$95+J96))</f>
        <v>296.16566037735845</v>
      </c>
      <c r="L117" s="256">
        <f>SUMIFS(BV_Data_An_Cour!$P:$P,BV_Data_An_Cour!$U:$U,$B117,BV_Data_An_Cour!$V:$V,$C117,BV_Data_An_Cour!$W:$W,$L$2)</f>
        <v>15696.779999999999</v>
      </c>
      <c r="M117" s="253"/>
      <c r="N117" s="276">
        <f t="shared" si="44"/>
        <v>-7749.7200000000012</v>
      </c>
      <c r="O117" s="253"/>
      <c r="P117" s="291">
        <f t="shared" si="45"/>
        <v>469.56</v>
      </c>
      <c r="Q117" s="256" cm="1">
        <f t="array" ref="Q117">+SUMPRODUCT(('Réel 2024'!$A$8:$A$501=$A117)*('Réel 2024'!$C$3:$AO$3=Q$2),'Réel 2024'!$C$8:$AO$501)</f>
        <v>19251.96</v>
      </c>
      <c r="R117" s="253"/>
      <c r="S117" s="276">
        <f t="shared" si="46"/>
        <v>-3555.1800000000003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12.592452830188678</v>
      </c>
      <c r="L118" s="895">
        <f>SUMIFS(BV_Data_An_Cour!$P:$P,BV_Data_An_Cour!$U:$U,$B118,BV_Data_An_Cour!$V:$V,$C118,BV_Data_An_Cour!$W:$W,$L$2)</f>
        <v>667.4</v>
      </c>
      <c r="M118" s="930"/>
      <c r="N118" s="904">
        <f t="shared" si="44"/>
        <v>667.4</v>
      </c>
      <c r="O118" s="253"/>
      <c r="P118" s="291">
        <f t="shared" si="45"/>
        <v>115.39243902439024</v>
      </c>
      <c r="Q118" s="256" cm="1">
        <f t="array" ref="Q118">+SUMPRODUCT(('Réel 2024'!$A$8:$A$501=$A118)*('Réel 2024'!$C$3:$AO$3=Q$2),'Réel 2024'!$C$8:$AO$501)</f>
        <v>4731.09</v>
      </c>
      <c r="R118" s="253"/>
      <c r="S118" s="276">
        <f t="shared" si="46"/>
        <v>-4063.69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0.43384490638766521</v>
      </c>
      <c r="F122" s="307">
        <f>SUM(F112:F121)</f>
        <v>104122.77753303965</v>
      </c>
      <c r="G122" s="308"/>
      <c r="H122" s="306"/>
      <c r="I122" s="307"/>
      <c r="J122" s="308" t="s">
        <v>119</v>
      </c>
      <c r="K122" s="306">
        <f>L122/L$108</f>
        <v>0.57247564603224665</v>
      </c>
      <c r="L122" s="307">
        <f>SUM(L112:L121)</f>
        <v>74467.299999999988</v>
      </c>
      <c r="M122" s="311"/>
      <c r="N122" s="307">
        <f t="shared" si="44"/>
        <v>-29655.477533039666</v>
      </c>
      <c r="O122" s="308" t="s">
        <v>119</v>
      </c>
      <c r="P122" s="306">
        <f>Q122/Q$108</f>
        <v>0.49830015846794667</v>
      </c>
      <c r="Q122" s="307">
        <f>SUM(Q112:Q121)</f>
        <v>72606.169999999984</v>
      </c>
      <c r="R122" s="311"/>
      <c r="S122" s="307">
        <f t="shared" si="46"/>
        <v>1861.1300000000047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23743.536538461536</v>
      </c>
      <c r="G123" s="253"/>
      <c r="H123" s="41"/>
      <c r="I123" s="254"/>
      <c r="J123" s="253"/>
      <c r="K123" s="41"/>
      <c r="L123" s="256">
        <f>SUMIFS(BV_Data_An_Cour!$P:$P,BV_Data_An_Cour!$U:$U,$B123,BV_Data_An_Cour!$V:$V,$C123,BV_Data_An_Cour!$W:$W,$L$2)</f>
        <v>17529.7</v>
      </c>
      <c r="M123" s="253"/>
      <c r="N123" s="276">
        <f t="shared" si="44"/>
        <v>-6213.8365384615354</v>
      </c>
      <c r="O123" s="253"/>
      <c r="P123" s="41"/>
      <c r="Q123" s="256" cm="1">
        <f t="array" ref="Q123">+SUMPRODUCT(('Réel 2024'!$A$8:$A$501=$A123)*('Réel 2024'!$C$3:$AO$3=Q$2),'Réel 2024'!$C$8:$AO$501)</f>
        <v>18939.13</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10833.951320787692</v>
      </c>
      <c r="G124" s="298"/>
      <c r="H124" s="41"/>
      <c r="I124" s="248"/>
      <c r="J124" s="253"/>
      <c r="K124" s="41"/>
      <c r="L124" s="248">
        <f>SUMIFS(BV_Data_An_Cour!$P:$P,BV_Data_An_Cour!$U:$U,$B124,BV_Data_An_Cour!$V:$V,$C124,BV_Data_An_Cour!$W:$W,$L$2)</f>
        <v>9614.6299999999992</v>
      </c>
      <c r="M124" s="253"/>
      <c r="N124" s="276">
        <f t="shared" si="44"/>
        <v>-1219.3213207876925</v>
      </c>
      <c r="O124" s="253"/>
      <c r="P124" s="41"/>
      <c r="Q124" s="248" cm="1">
        <f t="array" ref="Q124">+SUMPRODUCT(('Réel 2024'!$A$8:$A$501=$A124)*('Réel 2024'!$C$3:$AO$3=Q$2),'Réel 2024'!$C$8:$AO$501)</f>
        <v>11275.42</v>
      </c>
      <c r="R124" s="253"/>
      <c r="S124" s="276">
        <f t="shared" ref="S124:S153" si="48">L124-Q124</f>
        <v>-1660.7900000000009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12980.68</v>
      </c>
      <c r="M125" s="241"/>
      <c r="N125" s="317">
        <f t="shared" si="44"/>
        <v>9357.0466666666671</v>
      </c>
      <c r="O125" s="241"/>
      <c r="P125" s="315"/>
      <c r="Q125" s="256" cm="1">
        <f t="array" ref="Q125">+SUMPRODUCT(('Réel 2024'!$A$8:$A$501=$A125)*('Réel 2024'!$C$3:$AO$3=Q$2),'Réel 2024'!$C$8:$AO$501)</f>
        <v>11160</v>
      </c>
      <c r="R125" s="241"/>
      <c r="S125" s="317">
        <f t="shared" si="48"/>
        <v>1820.6800000000003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13891.579600204273</v>
      </c>
      <c r="G130" s="298"/>
      <c r="H130" s="41"/>
      <c r="I130" s="254"/>
      <c r="J130" s="253"/>
      <c r="K130" s="41"/>
      <c r="L130" s="256">
        <f>SUMIFS(BV_Data_An_Cour!$P:$P,BV_Data_An_Cour!$U:$U,$B130,BV_Data_An_Cour!$V:$V,$C130,BV_Data_An_Cour!$W:$W,$L$2)</f>
        <v>13550.1</v>
      </c>
      <c r="M130" s="253"/>
      <c r="N130" s="276">
        <f t="shared" si="44"/>
        <v>-341.47960020427308</v>
      </c>
      <c r="O130" s="253"/>
      <c r="P130" s="41"/>
      <c r="Q130" s="256" cm="1">
        <f t="array" ref="Q130">+SUMPRODUCT(('Réel 2024'!$A$8:$A$501=$A130)*('Réel 2024'!$C$3:$AO$3=Q$2),'Réel 2024'!$C$8:$AO$501)</f>
        <v>14888.58</v>
      </c>
      <c r="R130" s="253"/>
      <c r="S130" s="276">
        <f t="shared" si="48"/>
        <v>-1338.4799999999996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16890.202509499471</v>
      </c>
      <c r="G131" s="316"/>
      <c r="H131" s="315"/>
      <c r="I131" s="271"/>
      <c r="J131" s="241"/>
      <c r="K131" s="315"/>
      <c r="L131" s="272">
        <f>SUMIFS(BV_Data_An_Cour!$P:$P,BV_Data_An_Cour!$U:$U,$B131,BV_Data_An_Cour!$V:$V,$C131,BV_Data_An_Cour!$W:$W,$L$2)</f>
        <v>17832.37</v>
      </c>
      <c r="M131" s="241"/>
      <c r="N131" s="317">
        <f t="shared" si="44"/>
        <v>942.16749050052749</v>
      </c>
      <c r="O131" s="241"/>
      <c r="P131" s="315"/>
      <c r="Q131" s="272" cm="1">
        <f t="array" ref="Q131">+SUMPRODUCT(('Réel 2024'!$A$8:$A$501=$A131)*('Réel 2024'!$C$3:$AO$3=Q$2),'Réel 2024'!$C$8:$AO$501)</f>
        <v>16606.23</v>
      </c>
      <c r="R131" s="241"/>
      <c r="S131" s="317">
        <f t="shared" si="48"/>
        <v>1226.1399999999994</v>
      </c>
      <c r="T131" s="41"/>
      <c r="U131" s="254">
        <f>L131-Print_Mois!L131</f>
        <v>10922.039999999999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8702.1260755464664</v>
      </c>
      <c r="G132" s="298"/>
      <c r="H132" s="41"/>
      <c r="I132" s="254"/>
      <c r="J132" s="253"/>
      <c r="K132" s="41"/>
      <c r="L132" s="256">
        <f>SUMIFS(BV_Data_An_Cour!$P:$P,BV_Data_An_Cour!$U:$U,$B132,BV_Data_An_Cour!$V:$V,$C132,BV_Data_An_Cour!$W:$W,$L$2)</f>
        <v>8410.24</v>
      </c>
      <c r="M132" s="253"/>
      <c r="N132" s="276">
        <f t="shared" si="44"/>
        <v>-291.8860755464666</v>
      </c>
      <c r="O132" s="253"/>
      <c r="P132" s="41"/>
      <c r="Q132" s="256" cm="1">
        <f t="array" ref="Q132">+SUMPRODUCT(('Réel 2024'!$A$8:$A$501=$A132)*('Réel 2024'!$C$3:$AO$3=Q$2),'Réel 2024'!$C$8:$AO$501)</f>
        <v>8081.68</v>
      </c>
      <c r="R132" s="253"/>
      <c r="S132" s="276">
        <f t="shared" si="48"/>
        <v>328.55999999999949</v>
      </c>
      <c r="T132" s="41"/>
      <c r="U132" s="254">
        <f>L132-Print_Mois!L132</f>
        <v>4594.9399999999996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3794.1759260469826</v>
      </c>
      <c r="G133" s="298"/>
      <c r="H133" s="41"/>
      <c r="I133" s="254"/>
      <c r="J133" s="253"/>
      <c r="K133" s="41"/>
      <c r="L133" s="256">
        <f>SUMIFS(BV_Data_An_Cour!$P:$P,BV_Data_An_Cour!$U:$U,$B133,BV_Data_An_Cour!$V:$V,$C133,BV_Data_An_Cour!$W:$W,$L$2)</f>
        <v>2612.6999999999998</v>
      </c>
      <c r="M133" s="253"/>
      <c r="N133" s="276">
        <f t="shared" si="44"/>
        <v>-1181.4759260469827</v>
      </c>
      <c r="O133" s="253"/>
      <c r="P133" s="41"/>
      <c r="Q133" s="256" cm="1">
        <f t="array" ref="Q133">+SUMPRODUCT(('Réel 2024'!$A$8:$A$501=$A133)*('Réel 2024'!$C$3:$AO$3=Q$2),'Réel 2024'!$C$8:$AO$501)</f>
        <v>3001.74</v>
      </c>
      <c r="R133" s="253"/>
      <c r="S133" s="276">
        <f t="shared" si="48"/>
        <v>-389.03999999999996</v>
      </c>
      <c r="T133" s="41"/>
      <c r="U133" s="254">
        <f>L133-Print_Mois!L133</f>
        <v>1702.1799999999998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0.33949668876616568</v>
      </c>
      <c r="F135" s="307">
        <f>+SUM(F123:F134)</f>
        <v>81479.20530387976</v>
      </c>
      <c r="G135" s="308"/>
      <c r="H135" s="306"/>
      <c r="I135" s="307"/>
      <c r="J135" s="308" t="s">
        <v>119</v>
      </c>
      <c r="K135" s="306">
        <f>L135/L$108</f>
        <v>0.63446177727422171</v>
      </c>
      <c r="L135" s="307">
        <f>SUM(L123:L134)</f>
        <v>82530.42</v>
      </c>
      <c r="M135" s="355"/>
      <c r="N135" s="320">
        <f t="shared" si="44"/>
        <v>1051.2146961202379</v>
      </c>
      <c r="O135" s="308" t="s">
        <v>119</v>
      </c>
      <c r="P135" s="306">
        <f>Q135/Q$108</f>
        <v>0.57617257015243584</v>
      </c>
      <c r="Q135" s="307">
        <f>+SUM(Q123:Q134)</f>
        <v>83952.780000000013</v>
      </c>
      <c r="R135" s="355"/>
      <c r="S135" s="320">
        <f t="shared" si="48"/>
        <v>-1422.3600000000151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3426.4</v>
      </c>
      <c r="M138" s="246"/>
      <c r="N138" s="296">
        <f t="shared" si="44"/>
        <v>858.09342222222222</v>
      </c>
      <c r="O138" s="246"/>
      <c r="P138" s="318"/>
      <c r="Q138" s="248" cm="1">
        <f t="array" ref="Q138">+SUMPRODUCT(('Réel 2024'!$A$8:$A$501=$A138)*('Réel 2024'!$C$3:$AO$3=Q$2),'Réel 2024'!$C$8:$AO$501)</f>
        <v>7165.3099999999995</v>
      </c>
      <c r="R138" s="246"/>
      <c r="S138" s="296">
        <f t="shared" si="48"/>
        <v>-3738.9099999999994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7894</v>
      </c>
      <c r="G139" s="298"/>
      <c r="H139" s="41"/>
      <c r="I139" s="254"/>
      <c r="J139" s="253"/>
      <c r="K139" s="41"/>
      <c r="L139" s="256">
        <f>SUMIFS(BV_Data_An_Cour!$P:$P,BV_Data_An_Cour!$U:$U,$B139,BV_Data_An_Cour!$V:$V,$C139,BV_Data_An_Cour!$W:$W,$L$2)</f>
        <v>8308.06</v>
      </c>
      <c r="M139" s="253"/>
      <c r="N139" s="276">
        <f t="shared" si="44"/>
        <v>414.05999999999949</v>
      </c>
      <c r="O139" s="253"/>
      <c r="P139" s="41"/>
      <c r="Q139" s="256" cm="1">
        <f t="array" ref="Q139">+SUMPRODUCT(('Réel 2024'!$A$8:$A$501=$A139)*('Réel 2024'!$C$3:$AO$3=Q$2),'Réel 2024'!$C$8:$AO$501)</f>
        <v>5681.73</v>
      </c>
      <c r="R139" s="253"/>
      <c r="S139" s="276">
        <f t="shared" si="48"/>
        <v>2626.33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1500</v>
      </c>
      <c r="G140" s="298"/>
      <c r="H140" s="41"/>
      <c r="I140" s="254"/>
      <c r="J140" s="253"/>
      <c r="K140" s="41"/>
      <c r="L140" s="256">
        <f>SUMIFS(BV_Data_An_Cour!$P:$P,BV_Data_An_Cour!$U:$U,$B140,BV_Data_An_Cour!$V:$V,$C140,BV_Data_An_Cour!$W:$W,$L$2)</f>
        <v>391.05</v>
      </c>
      <c r="M140" s="253"/>
      <c r="N140" s="276">
        <f t="shared" si="44"/>
        <v>-1108.95</v>
      </c>
      <c r="O140" s="253"/>
      <c r="P140" s="41"/>
      <c r="Q140" s="256" cm="1">
        <f t="array" ref="Q140">+SUMPRODUCT(('Réel 2024'!$A$8:$A$501=$A140)*('Réel 2024'!$C$3:$AO$3=Q$2),'Réel 2024'!$C$8:$AO$501)</f>
        <v>1089.0999999999999</v>
      </c>
      <c r="R140" s="253"/>
      <c r="S140" s="276">
        <f t="shared" si="48"/>
        <v>-698.05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3621.84</v>
      </c>
      <c r="G141" s="300"/>
      <c r="H141" s="318"/>
      <c r="I141" s="248"/>
      <c r="J141" s="246"/>
      <c r="K141" s="318"/>
      <c r="L141" s="248">
        <f>SUMIFS(BV_Data_An_Cour!$P:$P,BV_Data_An_Cour!$U:$U,$B141,BV_Data_An_Cour!$V:$V,$C141,BV_Data_An_Cour!$W:$W,$L$2)</f>
        <v>3603.24</v>
      </c>
      <c r="M141" s="246"/>
      <c r="N141" s="296">
        <f t="shared" si="44"/>
        <v>-18.600000000000364</v>
      </c>
      <c r="O141" s="246"/>
      <c r="P141" s="318"/>
      <c r="Q141" s="248" cm="1">
        <f t="array" ref="Q141">+SUMPRODUCT(('Réel 2024'!$A$8:$A$501=$A141)*('Réel 2024'!$C$3:$AO$3=Q$2),'Réel 2024'!$C$8:$AO$501)</f>
        <v>5845.24</v>
      </c>
      <c r="R141" s="246"/>
      <c r="S141" s="296">
        <f t="shared" si="48"/>
        <v>-2242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v>
      </c>
      <c r="G142" s="298"/>
      <c r="H142" s="41"/>
      <c r="I142" s="254"/>
      <c r="J142" s="253"/>
      <c r="K142" s="41"/>
      <c r="L142" s="256">
        <f>SUMIFS(BV_Data_An_Cour!$P:$P,BV_Data_An_Cour!$U:$U,$B142,BV_Data_An_Cour!$V:$V,$C142,BV_Data_An_Cour!$W:$W,$L$2)</f>
        <v>0</v>
      </c>
      <c r="M142" s="253"/>
      <c r="N142" s="276">
        <f t="shared" si="44"/>
        <v>-100</v>
      </c>
      <c r="O142" s="253"/>
      <c r="P142" s="41"/>
      <c r="Q142" s="256" cm="1">
        <f t="array" ref="Q142">+SUMPRODUCT(('Réel 2024'!$A$8:$A$501=$A142)*('Réel 2024'!$C$3:$AO$3=Q$2),'Réel 2024'!$C$8:$AO$501)</f>
        <v>165.98</v>
      </c>
      <c r="R142" s="253"/>
      <c r="S142" s="276">
        <f t="shared" si="48"/>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544</v>
      </c>
      <c r="G144" s="298"/>
      <c r="H144" s="41"/>
      <c r="I144" s="254"/>
      <c r="J144" s="253"/>
      <c r="K144" s="41"/>
      <c r="L144" s="256">
        <f>SUMIFS(BV_Data_An_Cour!$P:$P,BV_Data_An_Cour!$U:$U,$B144,BV_Data_An_Cour!$V:$V,$C144,BV_Data_An_Cour!$W:$W,$L$2)</f>
        <v>1457.51</v>
      </c>
      <c r="M144" s="253"/>
      <c r="N144" s="276">
        <f t="shared" si="44"/>
        <v>913.51</v>
      </c>
      <c r="O144" s="253"/>
      <c r="P144" s="41"/>
      <c r="Q144" s="256" cm="1">
        <f t="array" ref="Q144">+SUMPRODUCT(('Réel 2024'!$A$8:$A$501=$A144)*('Réel 2024'!$C$3:$AO$3=Q$2),'Réel 2024'!$C$8:$AO$501)</f>
        <v>451.4</v>
      </c>
      <c r="R144" s="253"/>
      <c r="S144" s="276">
        <f t="shared" si="48"/>
        <v>1006.11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175</v>
      </c>
      <c r="G145" s="298"/>
      <c r="H145" s="41"/>
      <c r="I145" s="254"/>
      <c r="J145" s="253"/>
      <c r="K145" s="41"/>
      <c r="L145" s="256">
        <f>SUMIFS(BV_Data_An_Cour!$P:$P,BV_Data_An_Cour!$U:$U,$B145,BV_Data_An_Cour!$V:$V,$C145,BV_Data_An_Cour!$W:$W,$L$2)</f>
        <v>265.83</v>
      </c>
      <c r="M145" s="253"/>
      <c r="N145" s="276">
        <f t="shared" si="44"/>
        <v>90.829999999999984</v>
      </c>
      <c r="O145" s="253"/>
      <c r="P145" s="41"/>
      <c r="Q145" s="256" cm="1">
        <f t="array" ref="Q145">+SUMPRODUCT(('Réel 2024'!$A$8:$A$501=$A145)*('Réel 2024'!$C$3:$AO$3=Q$2),'Réel 2024'!$C$8:$AO$501)</f>
        <v>203.66</v>
      </c>
      <c r="R145" s="253"/>
      <c r="S145" s="276">
        <f t="shared" si="48"/>
        <v>62.169999999999987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170.93999999999997</v>
      </c>
      <c r="G146" s="298"/>
      <c r="H146" s="41"/>
      <c r="I146" s="254"/>
      <c r="J146" s="253"/>
      <c r="K146" s="41"/>
      <c r="L146" s="256">
        <f>SUMIFS(BV_Data_An_Cour!$P:$P,BV_Data_An_Cour!$U:$U,$B146,BV_Data_An_Cour!$V:$V,$C146,BV_Data_An_Cour!$W:$W,$L$2)</f>
        <v>340.38</v>
      </c>
      <c r="M146" s="253"/>
      <c r="N146" s="276">
        <f t="shared" si="44"/>
        <v>169.44000000000003</v>
      </c>
      <c r="O146" s="253"/>
      <c r="P146" s="41"/>
      <c r="Q146" s="256" cm="1">
        <f t="array" ref="Q146">+SUMPRODUCT(('Réel 2024'!$A$8:$A$501=$A146)*('Réel 2024'!$C$3:$AO$3=Q$2),'Réel 2024'!$C$8:$AO$501)</f>
        <v>457.92999999999995</v>
      </c>
      <c r="R146" s="253"/>
      <c r="S146" s="276">
        <f t="shared" si="48"/>
        <v>-117.54999999999995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90</v>
      </c>
      <c r="G147" s="298"/>
      <c r="H147" s="41"/>
      <c r="I147" s="254"/>
      <c r="J147" s="253"/>
      <c r="K147" s="41"/>
      <c r="L147" s="256">
        <f>SUMIFS(BV_Data_An_Cour!$P:$P,BV_Data_An_Cour!$U:$U,$B147,BV_Data_An_Cour!$V:$V,$C147,BV_Data_An_Cour!$W:$W,$L$2)</f>
        <v>206.47</v>
      </c>
      <c r="M147" s="253"/>
      <c r="N147" s="276">
        <f t="shared" si="44"/>
        <v>116.47</v>
      </c>
      <c r="O147" s="253"/>
      <c r="P147" s="41"/>
      <c r="Q147" s="256" cm="1">
        <f t="array" ref="Q147">+SUMPRODUCT(('Réel 2024'!$A$8:$A$501=$A147)*('Réel 2024'!$C$3:$AO$3=Q$2),'Réel 2024'!$C$8:$AO$501)</f>
        <v>60.230000000000004</v>
      </c>
      <c r="R147" s="253"/>
      <c r="S147" s="276">
        <f t="shared" si="48"/>
        <v>146.24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833.33333333333337</v>
      </c>
      <c r="G148" s="298"/>
      <c r="H148" s="41"/>
      <c r="I148" s="254"/>
      <c r="J148" s="253"/>
      <c r="K148" s="41"/>
      <c r="L148" s="256">
        <f>SUMIFS(BV_Data_An_Cour!$P:$P,BV_Data_An_Cour!$U:$U,$B148,BV_Data_An_Cour!$V:$V,$C148,BV_Data_An_Cour!$W:$W,$L$2)</f>
        <v>793.17</v>
      </c>
      <c r="M148" s="253"/>
      <c r="N148" s="276">
        <f t="shared" si="44"/>
        <v>-40.163333333333412</v>
      </c>
      <c r="O148" s="253"/>
      <c r="P148" s="41"/>
      <c r="Q148" s="256" cm="1">
        <f t="array" ref="Q148">+SUMPRODUCT(('Réel 2024'!$A$8:$A$501=$A148)*('Réel 2024'!$C$3:$AO$3=Q$2),'Réel 2024'!$C$8:$AO$501)</f>
        <v>278.93</v>
      </c>
      <c r="R148" s="253"/>
      <c r="S148" s="276">
        <f t="shared" si="48"/>
        <v>514.24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1289.3605870540875</v>
      </c>
      <c r="G149" s="298"/>
      <c r="H149" s="41"/>
      <c r="I149" s="254"/>
      <c r="J149" s="253"/>
      <c r="K149" s="41"/>
      <c r="L149" s="895">
        <f>SUMIFS(BV_Data_An_Cour!$P:$P,BV_Data_An_Cour!$U:$U,$B149,BV_Data_An_Cour!$V:$V,$C149,BV_Data_An_Cour!$W:$W,L$2)</f>
        <v>2082.5</v>
      </c>
      <c r="M149" s="930"/>
      <c r="N149" s="904">
        <f t="shared" si="44"/>
        <v>793.13941294591245</v>
      </c>
      <c r="O149" s="253"/>
      <c r="P149" s="41"/>
      <c r="Q149" s="256" cm="1">
        <f t="array" ref="Q149">+SUMPRODUCT(('Réel 2024'!$A$8:$A$501=$A149)*('Réel 2024'!$C$3:$AO$3=Q$2),'Réel 2024'!$C$8:$AO$501)</f>
        <v>1104.04</v>
      </c>
      <c r="R149" s="253"/>
      <c r="S149" s="276">
        <f t="shared" si="48"/>
        <v>978.46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7.8278252075688323E-2</v>
      </c>
      <c r="F153" s="307">
        <f>+SUM(F136:F152)</f>
        <v>18786.780498165197</v>
      </c>
      <c r="G153" s="308"/>
      <c r="H153" s="306"/>
      <c r="I153" s="307"/>
      <c r="J153" s="308" t="s">
        <v>119</v>
      </c>
      <c r="K153" s="306">
        <f>L153/L$108</f>
        <v>0.16047588465569718</v>
      </c>
      <c r="L153" s="307">
        <f>+SUM(L136:L152)</f>
        <v>20874.61</v>
      </c>
      <c r="M153" s="311"/>
      <c r="N153" s="307">
        <f t="shared" si="44"/>
        <v>2087.8295018348035</v>
      </c>
      <c r="O153" s="308" t="s">
        <v>119</v>
      </c>
      <c r="P153" s="306">
        <f>Q153/Q$108</f>
        <v>0.1544431076737881</v>
      </c>
      <c r="Q153" s="307">
        <f>+SUM(Q136:Q152)</f>
        <v>22503.55</v>
      </c>
      <c r="R153" s="311"/>
      <c r="S153" s="307">
        <f t="shared" si="48"/>
        <v>-1628.9399999999987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0.85161984722951933</v>
      </c>
      <c r="F155" s="307">
        <f>F122+F135+F153</f>
        <v>204388.76333508463</v>
      </c>
      <c r="G155" s="308"/>
      <c r="H155" s="306"/>
      <c r="I155" s="307"/>
      <c r="J155" s="308" t="s">
        <v>119</v>
      </c>
      <c r="K155" s="306">
        <f>L155/L$108</f>
        <v>1.3674133079621653</v>
      </c>
      <c r="L155" s="307">
        <f>L122+L135+L153</f>
        <v>177872.32999999996</v>
      </c>
      <c r="M155" s="311"/>
      <c r="N155" s="320">
        <f t="shared" ref="N155:N162" si="49">L155-F155</f>
        <v>-26516.433335084672</v>
      </c>
      <c r="O155" s="308" t="s">
        <v>119</v>
      </c>
      <c r="P155" s="306">
        <f>Q155/Q$108</f>
        <v>1.2289158362941706</v>
      </c>
      <c r="Q155" s="307">
        <f>Q122+Q135+Q153</f>
        <v>179062.5</v>
      </c>
      <c r="R155" s="311"/>
      <c r="S155" s="320">
        <f t="shared" ref="S155:S162" si="50">L155-Q155</f>
        <v>-1190.1700000000419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29578.25</v>
      </c>
      <c r="G159" s="298"/>
      <c r="H159" s="41"/>
      <c r="I159" s="254"/>
      <c r="J159" s="253"/>
      <c r="K159" s="41"/>
      <c r="L159" s="256">
        <f>-SUMIFS(BV_Data_An_Cour!$P:$P,BV_Data_An_Cour!$U:$U,$B159,BV_Data_An_Cour!$V:$V,$C159,BV_Data_An_Cour!$W:$W,L$2)</f>
        <v>24669</v>
      </c>
      <c r="M159" s="253"/>
      <c r="N159" s="276">
        <f t="shared" si="49"/>
        <v>-4909.25</v>
      </c>
      <c r="O159" s="253"/>
      <c r="P159" s="41"/>
      <c r="Q159" s="256" cm="1">
        <f t="array" ref="Q159">+SUMPRODUCT(('Réel 2024'!$A$8:$A$501=$A159)*('Réel 2024'!$C$3:$AO$3=Q$2),'Réel 2024'!$C$8:$AO$501)</f>
        <v>19395</v>
      </c>
      <c r="R159" s="253"/>
      <c r="S159" s="276">
        <f t="shared" si="50"/>
        <v>5274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29578.25</v>
      </c>
      <c r="G163" s="308"/>
      <c r="H163" s="306"/>
      <c r="I163" s="307"/>
      <c r="J163" s="308"/>
      <c r="K163" s="306"/>
      <c r="L163" s="307">
        <f>+SUM(L156:L162)</f>
        <v>24669</v>
      </c>
      <c r="M163" s="311"/>
      <c r="N163" s="307">
        <f>SUM(N156:N159)</f>
        <v>-4909.25</v>
      </c>
      <c r="O163" s="308"/>
      <c r="P163" s="306"/>
      <c r="Q163" s="307">
        <f>+SUM(Q156:Q162)</f>
        <v>19395</v>
      </c>
      <c r="R163" s="311"/>
      <c r="S163" s="307">
        <f>+SUM(S156:S162)</f>
        <v>5274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65189.48666491537</v>
      </c>
      <c r="G165" s="361"/>
      <c r="H165" s="333"/>
      <c r="I165" s="335"/>
      <c r="J165" s="332"/>
      <c r="K165" s="334"/>
      <c r="L165" s="335">
        <f>L108-L155+L163</f>
        <v>-23123.909999999873</v>
      </c>
      <c r="M165" s="332"/>
      <c r="N165" s="335">
        <f>L165-F165</f>
        <v>-88313.396664915243</v>
      </c>
      <c r="O165" s="332"/>
      <c r="P165" s="334"/>
      <c r="Q165" s="335">
        <f>Q108-Q155+Q163</f>
        <v>-13959.800000000105</v>
      </c>
      <c r="R165" s="332"/>
      <c r="S165" s="335">
        <f>L165-Q165</f>
        <v>-9164.1099999997678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7" t="s">
        <v>343</v>
      </c>
      <c r="E170" s="1298"/>
      <c r="F170" s="1299"/>
      <c r="G170" s="1302"/>
      <c r="H170" s="1298"/>
      <c r="I170" s="1299"/>
      <c r="J170" s="1302" t="s">
        <v>344</v>
      </c>
      <c r="K170" s="1298"/>
      <c r="L170" s="1299"/>
      <c r="M170" s="1302" t="s">
        <v>3310</v>
      </c>
      <c r="N170" s="1299"/>
      <c r="O170" s="1297" t="s">
        <v>345</v>
      </c>
      <c r="P170" s="1298"/>
      <c r="Q170" s="1299"/>
      <c r="R170" s="1300" t="s">
        <v>3312</v>
      </c>
      <c r="S170" s="130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578.48387660470848</v>
      </c>
      <c r="E172" s="291" cm="1">
        <f t="array" ref="E172">+SUMPRODUCT(('Budget original'!$A$8:$A$501=$A172)*('Budget original'!$C$3:$AO$3=E$2),'Budget original'!$C$8:$AO$501)</f>
        <v>202469.35681164794</v>
      </c>
      <c r="F172" s="291" cm="1">
        <f t="array" ref="F172">+SUMPRODUCT(('Budget original'!$A$8:$A$501=$A172)*('Budget original'!$C$3:$AO$3=F$2),'Budget original'!$C$8:$AO$501)</f>
        <v>159343.38381076697</v>
      </c>
      <c r="G172" s="322"/>
      <c r="H172" s="291"/>
      <c r="I172" s="291"/>
      <c r="J172" s="277">
        <f>-SUMIFS(BV_Data_An_Cour!$P:$P,BV_Data_An_Cour!$U:$U,$B172,BV_Data_An_Cour!$V:$V,$C172,BV_Data_An_Cour!$W:$W,J$2)</f>
        <v>559</v>
      </c>
      <c r="K172" s="254">
        <f>-SUMIFS(BV_Data_An_Cour!$P:$P,BV_Data_An_Cour!$X:$X,"Oui",BV_Data_An_Cour!$U:$U,$B172,BV_Data_An_Cour!$V:$V,$C172)</f>
        <v>208283.53</v>
      </c>
      <c r="L172" s="256">
        <f>-SUMIFS(BV_Data_An_Cour!$P:$P,BV_Data_An_Cour!$U:$U,$B172,BV_Data_An_Cour!$V:$V,$C172,BV_Data_An_Cour!$W:$W,$L$2)</f>
        <v>164421.41</v>
      </c>
      <c r="M172" s="292">
        <f>(K172-E172)/E172</f>
        <v>2.8716311840516349E-2</v>
      </c>
      <c r="N172" s="276">
        <f>L172-F172</f>
        <v>5078.0261892330309</v>
      </c>
      <c r="O172" s="277" cm="1">
        <f t="array" ref="O172">+SUMPRODUCT(('Réel 2024'!$A$8:$A$501=$A172)*('Réel 2024'!$C$3:$AO$3=O$2),'Réel 2024'!$C$8:$AO$501)</f>
        <v>503</v>
      </c>
      <c r="P172" s="254" cm="1">
        <f t="array" ref="P172">+SUMPRODUCT(('Réel 2024'!$A$8:$A$501=$A172)*('Réel 2024'!$C$3:$AO$3=P$2),'Réel 2024'!$C$8:$AO$501)</f>
        <v>191437.76</v>
      </c>
      <c r="Q172" s="256" cm="1">
        <f t="array" ref="Q172">+SUMPRODUCT(('Réel 2024'!$A$8:$A$501=$A172)*('Réel 2024'!$C$3:$AO$3=Q$2),'Réel 2024'!$C$8:$AO$501)</f>
        <v>152462.72</v>
      </c>
      <c r="R172" s="292">
        <f>IF(O172=0,0,J172/O172)</f>
        <v>1.1113320079522864</v>
      </c>
      <c r="S172" s="276">
        <f>L172-Q172</f>
        <v>11958.690000000002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0.78700000000000025</v>
      </c>
      <c r="G173" s="253"/>
      <c r="H173" s="349"/>
      <c r="I173" s="362"/>
      <c r="J173" s="277"/>
      <c r="K173" s="41"/>
      <c r="L173" s="362">
        <f>IF(L172=0,0,L172/K172)</f>
        <v>0.78941148155113372</v>
      </c>
      <c r="M173" s="292"/>
      <c r="N173" s="276"/>
      <c r="O173" s="277"/>
      <c r="P173" s="41"/>
      <c r="Q173" s="362">
        <f>Q172/P172</f>
        <v>0.79640881715289602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349.99999999999994</v>
      </c>
      <c r="F174" s="364"/>
      <c r="G174" s="246"/>
      <c r="H174" s="403"/>
      <c r="I174" s="364"/>
      <c r="J174" s="365"/>
      <c r="K174" s="606">
        <f>IFERROR(K172/J172,0)</f>
        <v>372.60023255813951</v>
      </c>
      <c r="L174" s="364"/>
      <c r="M174" s="295"/>
      <c r="N174" s="296"/>
      <c r="O174" s="365"/>
      <c r="P174" s="606">
        <f>IFERROR(P172/O172,0)</f>
        <v>380.59196819085491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509.42204147368091</v>
      </c>
      <c r="E175" s="291" cm="1">
        <f t="array" ref="E175">+SUMPRODUCT(('Budget original'!$A$8:$A$501=$A175)*('Budget original'!$C$3:$AO$3=E$2),'Budget original'!$C$8:$AO$501)</f>
        <v>152826.61244210426</v>
      </c>
      <c r="F175" s="291" cm="1">
        <f t="array" ref="F175">+SUMPRODUCT(('Budget original'!$A$8:$A$501=$A175)*('Budget original'!$C$3:$AO$3=F$2),'Budget original'!$C$8:$AO$501)</f>
        <v>98573.165025157243</v>
      </c>
      <c r="G175" s="367"/>
      <c r="H175" s="291"/>
      <c r="I175" s="291"/>
      <c r="J175" s="367">
        <f>-SUMIFS(BV_Data_An_Cour!$P:$P,BV_Data_An_Cour!$U:$U,$B175,BV_Data_An_Cour!$V:$V,$C175,BV_Data_An_Cour!$W:$W,J$2)</f>
        <v>388</v>
      </c>
      <c r="K175" s="271">
        <f>-SUMIFS(BV_Data_An_Cour!$P:$P,BV_Data_An_Cour!$X:$X,"Oui",BV_Data_An_Cour!$U:$U,$B175,BV_Data_An_Cour!$V:$V,$C175)</f>
        <v>139664.91</v>
      </c>
      <c r="L175" s="256">
        <f>-SUMIFS(BV_Data_An_Cour!$P:$P,BV_Data_An_Cour!$U:$U,$B175,BV_Data_An_Cour!$V:$V,$C175,BV_Data_An_Cour!$W:$W,$L$2)</f>
        <v>87983.670000000013</v>
      </c>
      <c r="M175" s="292">
        <f>(K175-E175)/E175</f>
        <v>-8.6121796667385689E-2</v>
      </c>
      <c r="N175" s="317">
        <f>L175-F175</f>
        <v>-10589.49502515723</v>
      </c>
      <c r="O175" s="367" cm="1">
        <f t="array" ref="O175">+SUMPRODUCT(('Réel 2024'!$A$8:$A$501=$A175)*('Réel 2024'!$C$3:$AO$3=O$2),'Réel 2024'!$C$8:$AO$501)</f>
        <v>489</v>
      </c>
      <c r="P175" s="271" cm="1">
        <f t="array" ref="P175">+SUMPRODUCT(('Réel 2024'!$A$8:$A$501=$A175)*('Réel 2024'!$C$3:$AO$3=P$2),'Réel 2024'!$C$8:$AO$501)</f>
        <v>145670</v>
      </c>
      <c r="Q175" s="256" cm="1">
        <f t="array" ref="Q175">+SUMPRODUCT(('Réel 2024'!$A$8:$A$501=$A175)*('Réel 2024'!$C$3:$AO$3=Q$2),'Réel 2024'!$C$8:$AO$501)</f>
        <v>99458.27</v>
      </c>
      <c r="R175" s="292">
        <f>IF(O175=0,0,J175/O175)</f>
        <v>0.79345603271983645</v>
      </c>
      <c r="S175" s="276">
        <f>L175-Q175</f>
        <v>-11474.599999999991</v>
      </c>
      <c r="T175" s="291"/>
      <c r="U175" s="41" t="s">
        <v>462</v>
      </c>
      <c r="V175" s="254">
        <f>+K175+J297</f>
        <v>345389.54000000004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0.64499999999999991</v>
      </c>
      <c r="G176" s="253"/>
      <c r="H176" s="41"/>
      <c r="I176" s="362"/>
      <c r="J176" s="253"/>
      <c r="K176" s="41"/>
      <c r="L176" s="362">
        <f>IF(L175=0,0,L175/K175)</f>
        <v>0.6299626012002586</v>
      </c>
      <c r="M176" s="264"/>
      <c r="N176" s="265"/>
      <c r="O176" s="253"/>
      <c r="P176" s="41"/>
      <c r="Q176" s="362">
        <f>Q175/P175</f>
        <v>0.68276426168737558</v>
      </c>
      <c r="R176" s="264"/>
      <c r="S176" s="265"/>
      <c r="T176" s="41"/>
      <c r="U176" s="41" t="s">
        <v>463</v>
      </c>
      <c r="V176" s="254">
        <f>+L175+L297</f>
        <v>135751.13</v>
      </c>
      <c r="W176" s="368">
        <f>+V176/V175</f>
        <v>0.39303775673113894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459.63124302469924</v>
      </c>
      <c r="E178" s="291" cm="1">
        <f t="array" ref="E178">+SUMPRODUCT(('Budget original'!$A$8:$A$501=$A178)*('Budget original'!$C$3:$AO$3=E$2),'Budget original'!$C$8:$AO$501)</f>
        <v>143404.94782370617</v>
      </c>
      <c r="F178" s="291" cm="1">
        <f t="array" ref="F178">+SUMPRODUCT(('Budget original'!$A$8:$A$501=$A178)*('Budget original'!$C$3:$AO$3=F$2),'Budget original'!$C$8:$AO$501)</f>
        <v>107553.71086777962</v>
      </c>
      <c r="G178" s="253"/>
      <c r="H178" s="291"/>
      <c r="I178" s="291"/>
      <c r="J178" s="277">
        <f>-SUMIFS(BV_Data_An_Cour!$P:$P,BV_Data_An_Cour!$U:$U,$B178,BV_Data_An_Cour!$V:$V,$C178,BV_Data_An_Cour!$W:$W,J$2)</f>
        <v>524</v>
      </c>
      <c r="K178" s="271">
        <f>-SUMIFS(BV_Data_An_Cour!$P:$P,BV_Data_An_Cour!$X:$X,"Oui",BV_Data_An_Cour!$U:$U,$B178,BV_Data_An_Cour!$V:$V,$C178)</f>
        <v>170225.64</v>
      </c>
      <c r="L178" s="256">
        <f>-SUMIFS(BV_Data_An_Cour!$P:$P,BV_Data_An_Cour!$U:$U,$B178,BV_Data_An_Cour!$V:$V,$C178,BV_Data_An_Cour!$W:$W,$L$2)</f>
        <v>129900.90000000001</v>
      </c>
      <c r="M178" s="292">
        <f>(K178-E178)/E178</f>
        <v>0.18702766245740465</v>
      </c>
      <c r="N178" s="276">
        <f>L178-F178</f>
        <v>22347.189132220388</v>
      </c>
      <c r="O178" s="277" cm="1">
        <f t="array" ref="O178">+SUMPRODUCT(('Réel 2024'!$A$8:$A$501=$A178)*('Réel 2024'!$C$3:$AO$3=O$2),'Réel 2024'!$C$8:$AO$501)</f>
        <v>407</v>
      </c>
      <c r="P178" s="271" cm="1">
        <f t="array" ref="P178">+SUMPRODUCT(('Réel 2024'!$A$8:$A$501=$A178)*('Réel 2024'!$C$3:$AO$3=P$2),'Réel 2024'!$C$8:$AO$501)</f>
        <v>126918.53</v>
      </c>
      <c r="Q178" s="256" cm="1">
        <f t="array" ref="Q178">+SUMPRODUCT(('Réel 2024'!$A$8:$A$501=$A178)*('Réel 2024'!$C$3:$AO$3=Q$2),'Réel 2024'!$C$8:$AO$501)</f>
        <v>95445.229999999894</v>
      </c>
      <c r="R178" s="292">
        <f>IF(O178=0,0,J178/O178)</f>
        <v>1.2874692874692875</v>
      </c>
      <c r="S178" s="276">
        <f>L178-Q178</f>
        <v>34455.670000000115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0.76311006966988049</v>
      </c>
      <c r="M179" s="292"/>
      <c r="N179" s="276">
        <f>L179-F179</f>
        <v>1.3110069669880486E-2</v>
      </c>
      <c r="O179" s="277"/>
      <c r="P179" s="349"/>
      <c r="Q179" s="362">
        <f>Q178/P178</f>
        <v>0.75201966174679058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7392.8373341603674</v>
      </c>
      <c r="F181" s="291" cm="1">
        <f t="array" ref="F181">+SUMPRODUCT(('Budget original'!$A$8:$A$501=$A181)*('Budget original'!$C$3:$AO$3=F$2),'Budget original'!$C$8:$AO$501)</f>
        <v>5766.4131206450866</v>
      </c>
      <c r="G181" s="241"/>
      <c r="H181" s="291"/>
      <c r="I181" s="291"/>
      <c r="J181" s="367">
        <f>-SUMIFS(BV_Data_An_Cour!$P:$P,BV_Data_An_Cour!$U:$U,$B181,BV_Data_An_Cour!$V:$V,$C181,BV_Data_An_Cour!$W:$W,J$2)</f>
        <v>0</v>
      </c>
      <c r="K181" s="271">
        <f>-SUMIFS(BV_Data_An_Cour!$P:$P,BV_Data_An_Cour!$X:$X,"Oui",BV_Data_An_Cour!$U:$U,$B181,BV_Data_An_Cour!$V:$V,$C181)</f>
        <v>12875.3</v>
      </c>
      <c r="L181" s="272">
        <f>-SUMIFS(BV_Data_An_Cour!$P:$P,BV_Data_An_Cour!$U:$U,$B181,BV_Data_An_Cour!$V:$V,$C181,BV_Data_An_Cour!$W:$W,$L$2)</f>
        <v>9627.3599999999988</v>
      </c>
      <c r="M181" s="371">
        <f>IF(E181=0,0,(K181-E181)/E181)</f>
        <v>0.7415911399141174</v>
      </c>
      <c r="N181" s="317">
        <f>L181-F181</f>
        <v>3860.9468793549122</v>
      </c>
      <c r="O181" s="367" cm="1">
        <f t="array" ref="O181">+SUMPRODUCT(('Réel 2024'!$A$8:$A$501=$A181)*('Réel 2024'!$C$3:$AO$3=O$2),'Réel 2024'!$C$8:$AO$501)</f>
        <v>0</v>
      </c>
      <c r="P181" s="271" cm="1">
        <f t="array" ref="P181">+SUMPRODUCT(('Réel 2024'!$A$8:$A$501=$A181)*('Réel 2024'!$C$3:$AO$3=P$2),'Réel 2024'!$C$8:$AO$501)</f>
        <v>7668.27</v>
      </c>
      <c r="Q181" s="272" cm="1">
        <f t="array" ref="Q181">+SUMPRODUCT(('Réel 2024'!$A$8:$A$501=$A181)*('Réel 2024'!$C$3:$AO$3=Q$2),'Réel 2024'!$C$8:$AO$501)</f>
        <v>5714.4399999999896</v>
      </c>
      <c r="R181" s="292">
        <f>IF(O181=0,0,J181/O181)</f>
        <v>0</v>
      </c>
      <c r="S181" s="317">
        <f>L181-Q181</f>
        <v>3912.9200000000092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0.74773869346733668</v>
      </c>
      <c r="M182" s="277">
        <f>J182-D182</f>
        <v>0</v>
      </c>
      <c r="N182" s="374"/>
      <c r="O182" s="373"/>
      <c r="P182" s="372"/>
      <c r="Q182" s="362">
        <f>IFERROR(Q181/P181,0)</f>
        <v>0.74520589389783998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-5655.2132943401111</v>
      </c>
      <c r="G184" s="253"/>
      <c r="H184" s="291"/>
      <c r="I184" s="291"/>
      <c r="J184" s="277"/>
      <c r="K184" s="291"/>
      <c r="L184" s="291">
        <f>-SUMIFS(BV_Data_An_Cour!$P:$P,BV_Data_An_Cour!$U:$U,$B184,BV_Data_An_Cour!$V:$V,$C184,BV_Data_An_Cour!$W:$W,$L$2)</f>
        <v>-4099.8900000000003</v>
      </c>
      <c r="M184" s="373"/>
      <c r="N184" s="276">
        <f>L184-F184</f>
        <v>1555.3232943401108</v>
      </c>
      <c r="O184" s="277"/>
      <c r="P184" s="291"/>
      <c r="Q184" s="291" cm="1">
        <f t="array" ref="Q184">+SUMPRODUCT(('Réel 2024'!$A$8:$A$501=$A184)*('Réel 2024'!$C$3:$AO$3=Q$2),'Réel 2024'!$C$8:$AO$501)</f>
        <v>-4748.93</v>
      </c>
      <c r="R184" s="379"/>
      <c r="S184" s="276">
        <f t="shared" ref="S184:S185" si="52">L184-Q184</f>
        <v>649.04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1547.5371611030885</v>
      </c>
      <c r="E185" s="381">
        <f>E172+E175+E178+E181+E184</f>
        <v>506093.75441161869</v>
      </c>
      <c r="F185" s="382">
        <f t="shared" ref="F185" si="54">F172+F175+F178+F181+F184</f>
        <v>365581.45953000878</v>
      </c>
      <c r="G185" s="383"/>
      <c r="H185" s="381"/>
      <c r="I185" s="382"/>
      <c r="J185" s="383">
        <f t="shared" ref="J185:L185" si="55">J172+J175+J178+J181+J184</f>
        <v>1471</v>
      </c>
      <c r="K185" s="381">
        <f t="shared" si="55"/>
        <v>531049.38</v>
      </c>
      <c r="L185" s="382">
        <f t="shared" si="55"/>
        <v>387833.45</v>
      </c>
      <c r="M185" s="384">
        <f>(K185-E185)/E185</f>
        <v>4.9310281683666621E-2</v>
      </c>
      <c r="N185" s="382">
        <f>L185-F185</f>
        <v>22251.990469991229</v>
      </c>
      <c r="O185" s="383">
        <f t="shared" ref="O185" si="56">O172+O175+O178+O181+O184</f>
        <v>1399</v>
      </c>
      <c r="P185" s="381">
        <f>P172+P175+P178+P181+P184</f>
        <v>471694.56000000006</v>
      </c>
      <c r="Q185" s="382">
        <f t="shared" ref="Q185" si="57">Q172+Q175+Q178+Q181+Q184</f>
        <v>348331.72999999986</v>
      </c>
      <c r="R185" s="264">
        <f>IF(O185=0,0,J185/O185)</f>
        <v>1.0514653323802716</v>
      </c>
      <c r="S185" s="382">
        <f t="shared" si="52"/>
        <v>39501.720000000147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327.03172959728721</v>
      </c>
      <c r="F186" s="388">
        <f>F185/E185</f>
        <v>0.72235916041886628</v>
      </c>
      <c r="G186" s="389"/>
      <c r="H186" s="609"/>
      <c r="I186" s="265"/>
      <c r="J186" s="389"/>
      <c r="K186" s="609">
        <f>IF(J185=0,0,K185/J185)</f>
        <v>361.0124949014276</v>
      </c>
      <c r="L186" s="265">
        <f>IF(L185=0,0,L185/K185)</f>
        <v>0.73031522981911778</v>
      </c>
      <c r="M186" s="389"/>
      <c r="N186" s="388">
        <f>N185/F185</f>
        <v>6.0867393271525232E-2</v>
      </c>
      <c r="O186" s="389"/>
      <c r="P186" s="609">
        <f>IF(O185=0,0,P185/O185)</f>
        <v>337.16551822730526</v>
      </c>
      <c r="Q186" s="265">
        <f>Q185/P185</f>
        <v>0.73846883033800481</v>
      </c>
      <c r="R186" s="389"/>
      <c r="S186" s="265">
        <f>IF(Q185=0,0,(S185/Q185))</f>
        <v>0.1134025889631133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31780.413713280323</v>
      </c>
      <c r="F188" s="291" cm="1">
        <f t="array" ref="F188">+SUMPRODUCT(('Budget original'!$A$8:$A$501=$A188)*('Budget original'!$C$3:$AO$3=F$2),'Budget original'!$C$8:$AO$501)</f>
        <v>6356.0827426560645</v>
      </c>
      <c r="G188" s="277"/>
      <c r="H188" s="291"/>
      <c r="I188" s="291"/>
      <c r="J188" s="277"/>
      <c r="K188" s="254">
        <f>-SUMIFS(BV_Data_An_Cour!$P:$P,BV_Data_An_Cour!$X:$X,"Oui",BV_Data_An_Cour!$U:$U,$B188,BV_Data_An_Cour!$V:$V,$C188)</f>
        <v>28451.279999999999</v>
      </c>
      <c r="L188" s="256">
        <f>-SUMIFS(BV_Data_An_Cour!$P:$P,BV_Data_An_Cour!$U:$U,$B188,BV_Data_An_Cour!$V:$V,$C188,BV_Data_An_Cour!$W:$W,$L$2)</f>
        <v>5152.3499999999985</v>
      </c>
      <c r="M188" s="292">
        <f>IF(E188=0,0,(K188-E188)/E188)</f>
        <v>-0.10475425975619547</v>
      </c>
      <c r="N188" s="276">
        <f>L188-F188</f>
        <v>-1203.732742656066</v>
      </c>
      <c r="O188" s="277"/>
      <c r="P188" s="254" cm="1">
        <f t="array" ref="P188">+SUMPRODUCT(('Réel 2024'!$A$8:$A$501=$A188)*('Réel 2024'!$C$3:$AO$3=P$2),'Réel 2024'!$C$8:$AO$501)</f>
        <v>28354.550000000003</v>
      </c>
      <c r="Q188" s="256" cm="1">
        <f t="array" ref="Q188">+SUMPRODUCT(('Réel 2024'!$A$8:$A$501=$A188)*('Réel 2024'!$C$3:$AO$3=Q$2),'Réel 2024'!$C$8:$AO$501)</f>
        <v>5698.0499999999902</v>
      </c>
      <c r="R188" s="292">
        <f>IF(O188=0,0,J188/O188)</f>
        <v>0</v>
      </c>
      <c r="S188" s="276">
        <f>L188-Q188</f>
        <v>-545.69999999999163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v>
      </c>
      <c r="G189" s="253"/>
      <c r="H189" s="349"/>
      <c r="I189" s="362"/>
      <c r="J189" s="373"/>
      <c r="K189" s="372"/>
      <c r="L189" s="362">
        <f>IF(L188=0,0,L188/K188)</f>
        <v>0.18109378558715106</v>
      </c>
      <c r="M189" s="373"/>
      <c r="N189" s="374"/>
      <c r="O189" s="373"/>
      <c r="P189" s="372"/>
      <c r="Q189" s="362">
        <f>IFERROR(Q188/P188,0)</f>
        <v>0.20095716560481439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6824.1575392249542</v>
      </c>
      <c r="F191" s="291" cm="1">
        <f t="array" ref="F191">+SUMPRODUCT(('Budget original'!$A$8:$A$501=$A191)*('Budget original'!$C$3:$AO$3=F$2),'Budget original'!$C$8:$AO$501)</f>
        <v>4776.9102774574676</v>
      </c>
      <c r="G191" s="253"/>
      <c r="H191" s="291"/>
      <c r="I191" s="291"/>
      <c r="J191" s="373"/>
      <c r="K191" s="254">
        <f>-SUMIFS(BV_Data_An_Cour!$P:$P,BV_Data_An_Cour!$X:$X,"Oui",BV_Data_An_Cour!$U:$U,$B191,BV_Data_An_Cour!$V:$V,$C191)</f>
        <v>9014.6</v>
      </c>
      <c r="L191" s="256">
        <f>-SUMIFS(BV_Data_An_Cour!$P:$P,BV_Data_An_Cour!$U:$U,$B191,BV_Data_An_Cour!$V:$V,$C191,BV_Data_An_Cour!$W:$W,$L$2)</f>
        <v>7060.56</v>
      </c>
      <c r="M191" s="373"/>
      <c r="N191" s="374"/>
      <c r="O191" s="373"/>
      <c r="P191" s="254" cm="1">
        <f t="array" ref="P191">+SUMPRODUCT(('Réel 2024'!$A$8:$A$501=$A191)*('Réel 2024'!$C$3:$AO$3=P$2),'Réel 2024'!$C$8:$AO$501)</f>
        <v>10953.85</v>
      </c>
      <c r="Q191" s="254" cm="1">
        <f t="array" ref="Q191">+SUMPRODUCT(('Réel 2024'!$A$8:$A$501=$A191)*('Réel 2024'!$C$3:$AO$3=Q$2),'Réel 2024'!$C$8:$AO$501)</f>
        <v>8567.0499999999993</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0.78323608368646425</v>
      </c>
      <c r="M192" s="373"/>
      <c r="N192" s="374"/>
      <c r="O192" s="373"/>
      <c r="P192" s="372"/>
      <c r="Q192" s="362">
        <f>IF(Q191=0,0,Q191/P191)</f>
        <v>0.7821040090926934</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544698.32566412399</v>
      </c>
      <c r="F194" s="281">
        <f t="shared" si="58"/>
        <v>376714.45255012228</v>
      </c>
      <c r="G194" s="282"/>
      <c r="H194" s="279"/>
      <c r="I194" s="281"/>
      <c r="J194" s="282"/>
      <c r="K194" s="279">
        <f t="shared" ref="K194:L194" si="59">K185+K188+K191</f>
        <v>568515.26</v>
      </c>
      <c r="L194" s="281">
        <f t="shared" si="59"/>
        <v>400046.36</v>
      </c>
      <c r="M194" s="399">
        <f>L195-F195</f>
        <v>1.2066638246725714E-2</v>
      </c>
      <c r="N194" s="281">
        <f>L194-F194</f>
        <v>23331.907449877704</v>
      </c>
      <c r="O194" s="282"/>
      <c r="P194" s="279">
        <f t="shared" ref="P194" si="60">P185+P188+P191</f>
        <v>511002.96</v>
      </c>
      <c r="Q194" s="281">
        <f>Q185+Q188+Q191</f>
        <v>362596.82999999984</v>
      </c>
      <c r="R194" s="399">
        <f>L195-Q195</f>
        <v>-5.9100869829254998E-3</v>
      </c>
      <c r="S194" s="281">
        <f>L194-Q194</f>
        <v>37449.530000000144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0.69160200206382638</v>
      </c>
      <c r="G195" s="283"/>
      <c r="H195" s="284"/>
      <c r="I195" s="287"/>
      <c r="J195" s="283"/>
      <c r="K195" s="284"/>
      <c r="L195" s="287">
        <f>L194/K194</f>
        <v>0.7036686403105521</v>
      </c>
      <c r="M195" s="286"/>
      <c r="N195" s="287">
        <f>N194/F194</f>
        <v>6.1935259695865712E-2</v>
      </c>
      <c r="O195" s="283"/>
      <c r="P195" s="284"/>
      <c r="Q195" s="287">
        <f>Q194/P194</f>
        <v>0.7095787272934776</v>
      </c>
      <c r="R195" s="286"/>
      <c r="S195" s="287">
        <f>L194/S194</f>
        <v>10.682279857717798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17206.611057692309</v>
      </c>
      <c r="G198" s="253"/>
      <c r="H198" s="41"/>
      <c r="I198" s="254"/>
      <c r="J198" s="253"/>
      <c r="K198" s="41"/>
      <c r="L198" s="256">
        <f>SUMIFS(BV_Data_An_Cour!$P:$P,BV_Data_An_Cour!$U:$U,$B198,BV_Data_An_Cour!$V:$V,$C198,BV_Data_An_Cour!$W:$W,$L$2)</f>
        <v>28956.57</v>
      </c>
      <c r="M198" s="253"/>
      <c r="N198" s="276">
        <f t="shared" ref="N198:N229" si="61">L198-F198</f>
        <v>11749.95894230769</v>
      </c>
      <c r="O198" s="253"/>
      <c r="P198" s="41"/>
      <c r="Q198" s="256" cm="1">
        <f t="array" ref="Q198">+SUMPRODUCT(('Réel 2024'!$A$8:$A$501=$A198)*('Réel 2024'!$C$3:$AO$3=Q$2),'Réel 2024'!$C$8:$AO$501)</f>
        <v>29525.11</v>
      </c>
      <c r="R198" s="253"/>
      <c r="S198" s="256">
        <f t="shared" ref="S198:S229" si="62">L198-Q198</f>
        <v>-568.54000000000087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25670.772143440001</v>
      </c>
      <c r="G199" s="298"/>
      <c r="H199" s="41"/>
      <c r="I199" s="248"/>
      <c r="J199" s="253"/>
      <c r="K199" s="41"/>
      <c r="L199" s="256">
        <f>SUMIFS(BV_Data_An_Cour!$P:$P,BV_Data_An_Cour!$U:$U,$B199,BV_Data_An_Cour!$V:$V,$C199,BV_Data_An_Cour!$W:$W,$L$2)</f>
        <v>29763.439999999999</v>
      </c>
      <c r="M199" s="253"/>
      <c r="N199" s="276">
        <f t="shared" si="61"/>
        <v>4092.6678565599977</v>
      </c>
      <c r="O199" s="253"/>
      <c r="P199" s="41"/>
      <c r="Q199" s="256" cm="1">
        <f t="array" ref="Q199">+SUMPRODUCT(('Réel 2024'!$A$8:$A$501=$A199)*('Réel 2024'!$C$3:$AO$3=Q$2),'Réel 2024'!$C$8:$AO$501)</f>
        <v>17573.989999999998</v>
      </c>
      <c r="R199" s="253"/>
      <c r="S199" s="276">
        <f t="shared" si="62"/>
        <v>12189.45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39953.829195999991</v>
      </c>
      <c r="G200" s="316"/>
      <c r="H200" s="315"/>
      <c r="I200" s="254"/>
      <c r="J200" s="241"/>
      <c r="K200" s="315"/>
      <c r="L200" s="272">
        <f>SUMIFS(BV_Data_An_Cour!$P:$P,BV_Data_An_Cour!$U:$U,$B200,BV_Data_An_Cour!$V:$V,$C200,BV_Data_An_Cour!$W:$W,$L$2)</f>
        <v>33345.730000000003</v>
      </c>
      <c r="M200" s="241"/>
      <c r="N200" s="317">
        <f t="shared" si="61"/>
        <v>-6608.0991959999883</v>
      </c>
      <c r="O200" s="241"/>
      <c r="P200" s="315"/>
      <c r="Q200" s="272" cm="1">
        <f t="array" ref="Q200">+SUMPRODUCT(('Réel 2024'!$A$8:$A$501=$A200)*('Réel 2024'!$C$3:$AO$3=Q$2),'Réel 2024'!$C$8:$AO$501)</f>
        <v>30791.32</v>
      </c>
      <c r="R200" s="241"/>
      <c r="S200" s="317">
        <f t="shared" si="62"/>
        <v>2554.4100000000035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52797.11302729162</v>
      </c>
      <c r="G201" s="298"/>
      <c r="H201" s="41"/>
      <c r="I201" s="254"/>
      <c r="J201" s="253"/>
      <c r="K201" s="41"/>
      <c r="L201" s="256">
        <f>SUMIFS(BV_Data_An_Cour!$P:$P,BV_Data_An_Cour!$U:$U,$B201,BV_Data_An_Cour!$V:$V,$C201,BV_Data_An_Cour!$W:$W,$L$2)</f>
        <v>34909.11</v>
      </c>
      <c r="M201" s="253"/>
      <c r="N201" s="276">
        <f t="shared" si="61"/>
        <v>-17888.003027291619</v>
      </c>
      <c r="O201" s="253"/>
      <c r="P201" s="41"/>
      <c r="Q201" s="256" cm="1">
        <f t="array" ref="Q201">+SUMPRODUCT(('Réel 2024'!$A$8:$A$501=$A201)*('Réel 2024'!$C$3:$AO$3=Q$2),'Réel 2024'!$C$8:$AO$501)</f>
        <v>30555.47</v>
      </c>
      <c r="R201" s="253"/>
      <c r="S201" s="276">
        <f t="shared" si="62"/>
        <v>4353.6399999999994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32008.655305638691</v>
      </c>
      <c r="G205" s="298"/>
      <c r="H205" s="41"/>
      <c r="I205" s="254"/>
      <c r="J205" s="253"/>
      <c r="K205" s="41"/>
      <c r="L205" s="256">
        <f>SUMIFS(BV_Data_An_Cour!$P:$P,BV_Data_An_Cour!$U:$U,$B205,BV_Data_An_Cour!$V:$V,$C205,BV_Data_An_Cour!$W:$W,$L$2)</f>
        <v>52904.639999999999</v>
      </c>
      <c r="M205" s="253"/>
      <c r="N205" s="276">
        <f t="shared" si="61"/>
        <v>20895.984694361308</v>
      </c>
      <c r="O205" s="253"/>
      <c r="P205" s="41"/>
      <c r="Q205" s="256" cm="1">
        <f t="array" ref="Q205">+SUMPRODUCT(('Réel 2024'!$A$8:$A$501=$A205)*('Réel 2024'!$C$3:$AO$3=Q$2),'Réel 2024'!$C$8:$AO$501)</f>
        <v>28380.309999999998</v>
      </c>
      <c r="R205" s="253"/>
      <c r="S205" s="276">
        <f t="shared" si="62"/>
        <v>24524.33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38918.0126183096</v>
      </c>
      <c r="G206" s="316"/>
      <c r="H206" s="315"/>
      <c r="I206" s="272"/>
      <c r="J206" s="241"/>
      <c r="K206" s="315"/>
      <c r="L206" s="272">
        <f>SUMIFS(BV_Data_An_Cour!$P:$P,BV_Data_An_Cour!$U:$U,$B206,BV_Data_An_Cour!$V:$V,$C206,BV_Data_An_Cour!$W:$W,$L$2)</f>
        <v>43153.66</v>
      </c>
      <c r="M206" s="241"/>
      <c r="N206" s="317">
        <f t="shared" si="61"/>
        <v>4235.6473816904036</v>
      </c>
      <c r="O206" s="241"/>
      <c r="P206" s="315"/>
      <c r="Q206" s="272" cm="1">
        <f t="array" ref="Q206">+SUMPRODUCT(('Réel 2024'!$A$8:$A$501=$A206)*('Réel 2024'!$C$3:$AO$3=Q$2),'Réel 2024'!$C$8:$AO$501)</f>
        <v>34379.270000000004</v>
      </c>
      <c r="R206" s="241"/>
      <c r="S206" s="317">
        <f t="shared" si="62"/>
        <v>8774.39</v>
      </c>
      <c r="T206" s="41"/>
      <c r="V206" s="254">
        <f>L206-Print_Mois!L206</f>
        <v>25104.900000000005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20051.236935955163</v>
      </c>
      <c r="G207" s="298"/>
      <c r="H207" s="41"/>
      <c r="I207" s="254"/>
      <c r="J207" s="253"/>
      <c r="K207" s="41"/>
      <c r="L207" s="256">
        <f>SUMIFS(BV_Data_An_Cour!$P:$P,BV_Data_An_Cour!$U:$U,$B207,BV_Data_An_Cour!$V:$V,$C207,BV_Data_An_Cour!$W:$W,$L$2)</f>
        <v>24753.489999999998</v>
      </c>
      <c r="M207" s="253"/>
      <c r="N207" s="276">
        <f t="shared" si="61"/>
        <v>4702.2530640448349</v>
      </c>
      <c r="O207" s="253"/>
      <c r="P207" s="41"/>
      <c r="Q207" s="256" cm="1">
        <f t="array" ref="Q207">+SUMPRODUCT(('Réel 2024'!$A$8:$A$501=$A207)*('Réel 2024'!$C$3:$AO$3=Q$2),'Réel 2024'!$C$8:$AO$501)</f>
        <v>18233.48</v>
      </c>
      <c r="R207" s="253"/>
      <c r="S207" s="276">
        <f t="shared" si="62"/>
        <v>6520.0099999999984</v>
      </c>
      <c r="T207" s="41"/>
      <c r="V207" s="254">
        <f>L207-Print_Mois!L207</f>
        <v>14257.819999999998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8742.4521099101257</v>
      </c>
      <c r="G208" s="298"/>
      <c r="H208" s="41"/>
      <c r="I208" s="254"/>
      <c r="J208" s="253"/>
      <c r="K208" s="41"/>
      <c r="L208" s="256">
        <f>SUMIFS(BV_Data_An_Cour!$P:$P,BV_Data_An_Cour!$U:$U,$B208,BV_Data_An_Cour!$V:$V,$C208,BV_Data_An_Cour!$W:$W,$L$2)</f>
        <v>7379.92</v>
      </c>
      <c r="M208" s="253"/>
      <c r="N208" s="276">
        <f t="shared" si="61"/>
        <v>-1362.5321099101257</v>
      </c>
      <c r="O208" s="253"/>
      <c r="P208" s="41"/>
      <c r="Q208" s="256" cm="1">
        <f t="array" ref="Q208">+SUMPRODUCT(('Réel 2024'!$A$8:$A$501=$A208)*('Réel 2024'!$C$3:$AO$3=Q$2),'Réel 2024'!$C$8:$AO$501)</f>
        <v>8060.07</v>
      </c>
      <c r="R208" s="253"/>
      <c r="S208" s="276">
        <f t="shared" si="62"/>
        <v>-680.14999999999964</v>
      </c>
      <c r="T208" s="41"/>
      <c r="V208" s="254">
        <f>L208-Print_Mois!L208</f>
        <v>4016.4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0.62474025299818836</v>
      </c>
      <c r="F210" s="307">
        <f>+SUM(F198:F209)</f>
        <v>235348.68239423743</v>
      </c>
      <c r="G210" s="308"/>
      <c r="H210" s="306"/>
      <c r="I210" s="307"/>
      <c r="J210" s="308" t="s">
        <v>175</v>
      </c>
      <c r="K210" s="306">
        <f>L210/L$194</f>
        <v>0.6378424740572568</v>
      </c>
      <c r="L210" s="307">
        <f>+SUM(L198:L209)</f>
        <v>255166.56</v>
      </c>
      <c r="M210" s="355"/>
      <c r="N210" s="320">
        <f t="shared" si="61"/>
        <v>19817.877605762566</v>
      </c>
      <c r="O210" s="308" t="s">
        <v>175</v>
      </c>
      <c r="P210" s="306">
        <f>Q210/Q$194</f>
        <v>0.54467938950266093</v>
      </c>
      <c r="Q210" s="307">
        <f>+SUM(Q198:Q209)</f>
        <v>197499.02000000005</v>
      </c>
      <c r="R210" s="355"/>
      <c r="S210" s="320">
        <f t="shared" si="62"/>
        <v>57667.53999999995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20211.75</v>
      </c>
      <c r="G211" s="298"/>
      <c r="H211" s="41"/>
      <c r="I211" s="254"/>
      <c r="J211" s="253"/>
      <c r="K211" s="41"/>
      <c r="L211" s="256">
        <f>SUMIFS(BV_Data_An_Cour!$P:$P,BV_Data_An_Cour!$U:$U,$B211,BV_Data_An_Cour!$V:$V,$C211,BV_Data_An_Cour!$W:$W,$L$2)</f>
        <v>14074.03</v>
      </c>
      <c r="M211" s="253"/>
      <c r="N211" s="276">
        <f t="shared" si="61"/>
        <v>-6137.7199999999993</v>
      </c>
      <c r="O211" s="253"/>
      <c r="P211" s="41"/>
      <c r="Q211" s="256" cm="1">
        <f t="array" ref="Q211">+SUMPRODUCT(('Réel 2024'!$A$8:$A$501=$A211)*('Réel 2024'!$C$3:$AO$3=Q$2),'Réel 2024'!$C$8:$AO$501)</f>
        <v>26211.85</v>
      </c>
      <c r="R211" s="253"/>
      <c r="S211" s="276">
        <f t="shared" si="62"/>
        <v>-12137.819999999998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5147.92</v>
      </c>
      <c r="M212" s="253"/>
      <c r="N212" s="276">
        <f t="shared" si="61"/>
        <v>-1696.4348066474186</v>
      </c>
      <c r="O212" s="253"/>
      <c r="P212" s="41"/>
      <c r="Q212" s="256" cm="1">
        <f t="array" ref="Q212">+SUMPRODUCT(('Réel 2024'!$A$8:$A$501=$A212)*('Réel 2024'!$C$3:$AO$3=Q$2),'Réel 2024'!$C$8:$AO$501)</f>
        <v>5237.03999999999</v>
      </c>
      <c r="R212" s="253"/>
      <c r="S212" s="276">
        <f t="shared" si="62"/>
        <v>-89.119999999989886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28105.89</v>
      </c>
      <c r="M213" s="246"/>
      <c r="N213" s="296">
        <f t="shared" si="61"/>
        <v>5938.4112888888885</v>
      </c>
      <c r="O213" s="246"/>
      <c r="P213" s="318"/>
      <c r="Q213" s="256" cm="1">
        <f t="array" ref="Q213">+SUMPRODUCT(('Réel 2024'!$A$8:$A$501=$A213)*('Réel 2024'!$C$3:$AO$3=Q$2),'Réel 2024'!$C$8:$AO$501)</f>
        <v>15092.62</v>
      </c>
      <c r="R213" s="246"/>
      <c r="S213" s="296">
        <f t="shared" si="62"/>
        <v>13013.269999999999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13588</v>
      </c>
      <c r="G214" s="298"/>
      <c r="H214" s="41"/>
      <c r="I214" s="254"/>
      <c r="J214" s="253"/>
      <c r="K214" s="41"/>
      <c r="L214" s="272">
        <f>SUMIFS(BV_Data_An_Cour!$P:$P,BV_Data_An_Cour!$U:$U,$B214,BV_Data_An_Cour!$V:$V,$C214,BV_Data_An_Cour!$W:$W,$L$2)</f>
        <v>9523.68</v>
      </c>
      <c r="M214" s="253"/>
      <c r="N214" s="276">
        <f t="shared" si="61"/>
        <v>-4064.3199999999997</v>
      </c>
      <c r="O214" s="253"/>
      <c r="P214" s="41"/>
      <c r="Q214" s="272" cm="1">
        <f t="array" ref="Q214">+SUMPRODUCT(('Réel 2024'!$A$8:$A$501=$A214)*('Réel 2024'!$C$3:$AO$3=Q$2),'Réel 2024'!$C$8:$AO$501)</f>
        <v>9662.43</v>
      </c>
      <c r="R214" s="253"/>
      <c r="S214" s="276">
        <f t="shared" si="62"/>
        <v>-138.75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2500</v>
      </c>
      <c r="G215" s="298"/>
      <c r="H215" s="41"/>
      <c r="I215" s="254"/>
      <c r="J215" s="253"/>
      <c r="K215" s="41"/>
      <c r="L215" s="256">
        <f>SUMIFS(BV_Data_An_Cour!$P:$P,BV_Data_An_Cour!$U:$U,$B215,BV_Data_An_Cour!$V:$V,$C215,BV_Data_An_Cour!$W:$W,$L$2)</f>
        <v>782.05</v>
      </c>
      <c r="M215" s="253"/>
      <c r="N215" s="276">
        <f t="shared" si="61"/>
        <v>-1717.95</v>
      </c>
      <c r="O215" s="253"/>
      <c r="P215" s="41"/>
      <c r="Q215" s="256" cm="1">
        <f t="array" ref="Q215">+SUMPRODUCT(('Réel 2024'!$A$8:$A$501=$A215)*('Réel 2024'!$C$3:$AO$3=Q$2),'Réel 2024'!$C$8:$AO$501)</f>
        <v>2183.83</v>
      </c>
      <c r="R215" s="253"/>
      <c r="S215" s="276">
        <f t="shared" si="62"/>
        <v>-1401.78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31243.68</v>
      </c>
      <c r="G216" s="300"/>
      <c r="H216" s="318"/>
      <c r="I216" s="248"/>
      <c r="J216" s="246"/>
      <c r="K216" s="318"/>
      <c r="L216" s="256">
        <f>SUMIFS(BV_Data_An_Cour!$P:$P,BV_Data_An_Cour!$U:$U,$B216,BV_Data_An_Cour!$V:$V,$C216,BV_Data_An_Cour!$W:$W,$L$2)</f>
        <v>30889.8</v>
      </c>
      <c r="M216" s="246"/>
      <c r="N216" s="296">
        <f t="shared" si="61"/>
        <v>-353.88000000000102</v>
      </c>
      <c r="O216" s="246"/>
      <c r="P216" s="318"/>
      <c r="Q216" s="256" cm="1">
        <f t="array" ref="Q216">+SUMPRODUCT(('Réel 2024'!$A$8:$A$501=$A216)*('Réel 2024'!$C$3:$AO$3=Q$2),'Réel 2024'!$C$8:$AO$501)</f>
        <v>27409.46</v>
      </c>
      <c r="R216" s="246"/>
      <c r="S216" s="296">
        <f t="shared" si="62"/>
        <v>3480.34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10000</v>
      </c>
      <c r="G218" s="298"/>
      <c r="H218" s="41"/>
      <c r="I218" s="254"/>
      <c r="J218" s="253"/>
      <c r="K218" s="41"/>
      <c r="L218" s="256">
        <f>SUMIFS(BV_Data_An_Cour!$P:$P,BV_Data_An_Cour!$U:$U,$B218,BV_Data_An_Cour!$V:$V,$C218,BV_Data_An_Cour!$W:$W,$L$2)</f>
        <v>21523.69</v>
      </c>
      <c r="M218" s="253"/>
      <c r="N218" s="276">
        <f t="shared" si="61"/>
        <v>11523.689999999999</v>
      </c>
      <c r="O218" s="253"/>
      <c r="P218" s="41"/>
      <c r="Q218" s="256" cm="1">
        <f t="array" ref="Q218">+SUMPRODUCT(('Réel 2024'!$A$8:$A$501=$A218)*('Réel 2024'!$C$3:$AO$3=Q$2),'Réel 2024'!$C$8:$AO$501)</f>
        <v>10563.21</v>
      </c>
      <c r="R218" s="253"/>
      <c r="S218" s="276">
        <f t="shared" si="62"/>
        <v>10960.48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2000</v>
      </c>
      <c r="G219" s="298"/>
      <c r="H219" s="41"/>
      <c r="I219" s="254"/>
      <c r="J219" s="253"/>
      <c r="K219" s="41"/>
      <c r="L219" s="256">
        <f>SUMIFS(BV_Data_An_Cour!$P:$P,BV_Data_An_Cour!$U:$U,$B219,BV_Data_An_Cour!$V:$V,$C219,BV_Data_An_Cour!$W:$W,$L$2)</f>
        <v>1566.27</v>
      </c>
      <c r="M219" s="253"/>
      <c r="N219" s="276">
        <f t="shared" si="61"/>
        <v>-433.73</v>
      </c>
      <c r="O219" s="253"/>
      <c r="P219" s="41"/>
      <c r="Q219" s="256" cm="1">
        <f t="array" ref="Q219">+SUMPRODUCT(('Réel 2024'!$A$8:$A$501=$A219)*('Réel 2024'!$C$3:$AO$3=Q$2),'Réel 2024'!$C$8:$AO$501)</f>
        <v>1184.06</v>
      </c>
      <c r="R219" s="253"/>
      <c r="S219" s="276">
        <f t="shared" si="62"/>
        <v>382.21000000000004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v>
      </c>
      <c r="G220" s="298"/>
      <c r="H220" s="41"/>
      <c r="I220" s="254"/>
      <c r="J220" s="253"/>
      <c r="K220" s="41"/>
      <c r="L220" s="256">
        <f>SUMIFS(BV_Data_An_Cour!$P:$P,BV_Data_An_Cour!$U:$U,$B220,BV_Data_An_Cour!$V:$V,$C220,BV_Data_An_Cour!$W:$W,$L$2)</f>
        <v>1344.02</v>
      </c>
      <c r="M220" s="253"/>
      <c r="N220" s="276">
        <f t="shared" si="61"/>
        <v>-321.98</v>
      </c>
      <c r="O220" s="253"/>
      <c r="P220" s="41"/>
      <c r="Q220" s="256" cm="1">
        <f t="array" ref="Q220">+SUMPRODUCT(('Réel 2024'!$A$8:$A$501=$A220)*('Réel 2024'!$C$3:$AO$3=Q$2),'Réel 2024'!$C$8:$AO$501)</f>
        <v>902.76</v>
      </c>
      <c r="R220" s="253"/>
      <c r="S220" s="276">
        <f t="shared" si="62"/>
        <v>441.26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455</v>
      </c>
      <c r="G221" s="298"/>
      <c r="H221" s="41"/>
      <c r="I221" s="254"/>
      <c r="J221" s="253"/>
      <c r="K221" s="41"/>
      <c r="L221" s="256">
        <f>SUMIFS(BV_Data_An_Cour!$P:$P,BV_Data_An_Cour!$U:$U,$B221,BV_Data_An_Cour!$V:$V,$C221,BV_Data_An_Cour!$W:$W,$L$2)</f>
        <v>651.59</v>
      </c>
      <c r="M221" s="253"/>
      <c r="N221" s="276">
        <f t="shared" si="61"/>
        <v>196.59000000000003</v>
      </c>
      <c r="O221" s="253"/>
      <c r="P221" s="41"/>
      <c r="Q221" s="256" cm="1">
        <f t="array" ref="Q221">+SUMPRODUCT(('Réel 2024'!$A$8:$A$501=$A221)*('Réel 2024'!$C$3:$AO$3=Q$2),'Réel 2024'!$C$8:$AO$501)</f>
        <v>490.40999999999997</v>
      </c>
      <c r="R221" s="253"/>
      <c r="S221" s="276">
        <f t="shared" si="62"/>
        <v>161.18000000000006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341.87999999999994</v>
      </c>
      <c r="G222" s="298"/>
      <c r="H222" s="41"/>
      <c r="I222" s="254"/>
      <c r="J222" s="253"/>
      <c r="K222" s="41"/>
      <c r="L222" s="256">
        <f>SUMIFS(BV_Data_An_Cour!$P:$P,BV_Data_An_Cour!$U:$U,$B222,BV_Data_An_Cour!$V:$V,$C222,BV_Data_An_Cour!$W:$W,$L$2)</f>
        <v>598.66999999999996</v>
      </c>
      <c r="M222" s="253"/>
      <c r="N222" s="276">
        <f t="shared" si="61"/>
        <v>256.79000000000002</v>
      </c>
      <c r="O222" s="253"/>
      <c r="P222" s="41"/>
      <c r="Q222" s="256" cm="1">
        <f t="array" ref="Q222">+SUMPRODUCT(('Réel 2024'!$A$8:$A$501=$A222)*('Réel 2024'!$C$3:$AO$3=Q$2),'Réel 2024'!$C$8:$AO$501)</f>
        <v>880.25</v>
      </c>
      <c r="R222" s="253"/>
      <c r="S222" s="276">
        <f t="shared" si="62"/>
        <v>-281.58000000000004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180</v>
      </c>
      <c r="G223" s="298"/>
      <c r="H223" s="41"/>
      <c r="I223" s="254"/>
      <c r="J223" s="253"/>
      <c r="K223" s="41"/>
      <c r="L223" s="256">
        <f>SUMIFS(BV_Data_An_Cour!$P:$P,BV_Data_An_Cour!$U:$U,$B223,BV_Data_An_Cour!$V:$V,$C223,BV_Data_An_Cour!$W:$W,$L$2)</f>
        <v>412.95</v>
      </c>
      <c r="M223" s="253"/>
      <c r="N223" s="276">
        <f t="shared" si="61"/>
        <v>232.95</v>
      </c>
      <c r="O223" s="253"/>
      <c r="P223" s="41"/>
      <c r="Q223" s="256" cm="1">
        <f t="array" ref="Q223">+SUMPRODUCT(('Réel 2024'!$A$8:$A$501=$A223)*('Réel 2024'!$C$3:$AO$3=Q$2),'Réel 2024'!$C$8:$AO$501)</f>
        <v>120.47</v>
      </c>
      <c r="R223" s="253"/>
      <c r="S223" s="276">
        <f t="shared" si="62"/>
        <v>292.48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3333.3333333333335</v>
      </c>
      <c r="G224" s="298"/>
      <c r="H224" s="41"/>
      <c r="I224" s="254"/>
      <c r="J224" s="253"/>
      <c r="K224" s="41"/>
      <c r="L224" s="256">
        <f>SUMIFS(BV_Data_An_Cour!$P:$P,BV_Data_An_Cour!$U:$U,$B224,BV_Data_An_Cour!$V:$V,$C224,BV_Data_An_Cour!$W:$W,$L$2)</f>
        <v>1259.74</v>
      </c>
      <c r="M224" s="253"/>
      <c r="N224" s="276">
        <f t="shared" si="61"/>
        <v>-2073.5933333333332</v>
      </c>
      <c r="O224" s="253"/>
      <c r="P224" s="41"/>
      <c r="Q224" s="256" cm="1">
        <f t="array" ref="Q224">+SUMPRODUCT(('Réel 2024'!$A$8:$A$501=$A224)*('Réel 2024'!$C$3:$AO$3=Q$2),'Réel 2024'!$C$8:$AO$501)</f>
        <v>1314.73</v>
      </c>
      <c r="R224" s="253"/>
      <c r="S224" s="276">
        <f t="shared" si="62"/>
        <v>-54.990000000000009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2976.8092455772712</v>
      </c>
      <c r="G225" s="298"/>
      <c r="H225" s="41"/>
      <c r="I225" s="254"/>
      <c r="J225" s="253"/>
      <c r="K225" s="41"/>
      <c r="L225" s="256">
        <f>SUMIFS(BV_Data_An_Cour!$P:$P,BV_Data_An_Cour!$U:$U,$B225,BV_Data_An_Cour!$V:$V,$C225,BV_Data_An_Cour!$W:$W,L$2)</f>
        <v>4685.6499999999996</v>
      </c>
      <c r="M225" s="253"/>
      <c r="N225" s="276">
        <f t="shared" si="61"/>
        <v>1708.8407544227284</v>
      </c>
      <c r="O225" s="253"/>
      <c r="P225" s="41"/>
      <c r="Q225" s="256" cm="1">
        <f t="array" ref="Q225">+SUMPRODUCT(('Réel 2024'!$A$8:$A$501=$A225)*('Réel 2024'!$C$3:$AO$3=Q$2),'Réel 2024'!$C$8:$AO$501)</f>
        <v>2484.09</v>
      </c>
      <c r="R225" s="253"/>
      <c r="S225" s="276">
        <f t="shared" si="62"/>
        <v>2201.5599999999995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0.31192932817207092</v>
      </c>
      <c r="F229" s="307">
        <f>+SUM(F211:F228)</f>
        <v>117508.28609666912</v>
      </c>
      <c r="G229" s="308"/>
      <c r="H229" s="306"/>
      <c r="I229" s="307"/>
      <c r="J229" s="308" t="s">
        <v>175</v>
      </c>
      <c r="K229" s="306">
        <f>L229/L$194</f>
        <v>0.30137994506436705</v>
      </c>
      <c r="L229" s="307">
        <f>+SUM(L211:L228)</f>
        <v>120565.95</v>
      </c>
      <c r="M229" s="311"/>
      <c r="N229" s="307">
        <f t="shared" si="61"/>
        <v>3057.6639033308747</v>
      </c>
      <c r="O229" s="308" t="s">
        <v>175</v>
      </c>
      <c r="P229" s="306">
        <f>Q229/Q$194</f>
        <v>0.28609519283442164</v>
      </c>
      <c r="Q229" s="307">
        <f>+SUM(Q211:Q228)</f>
        <v>103737.20999999996</v>
      </c>
      <c r="R229" s="311"/>
      <c r="S229" s="307">
        <f t="shared" si="62"/>
        <v>16828.740000000034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0.93666958117025922</v>
      </c>
      <c r="F231" s="307">
        <f>F210+F229</f>
        <v>352856.96849090653</v>
      </c>
      <c r="G231" s="308"/>
      <c r="H231" s="306"/>
      <c r="I231" s="307"/>
      <c r="J231" s="308" t="s">
        <v>119</v>
      </c>
      <c r="K231" s="306">
        <f>L231/L$194</f>
        <v>0.93922241912162385</v>
      </c>
      <c r="L231" s="307">
        <f>L210+L229</f>
        <v>375732.51</v>
      </c>
      <c r="M231" s="311"/>
      <c r="N231" s="320">
        <f>L231-F231</f>
        <v>22875.541509093484</v>
      </c>
      <c r="O231" s="308" t="s">
        <v>119</v>
      </c>
      <c r="P231" s="306">
        <f>Q231/Q$194</f>
        <v>0.83077458233708257</v>
      </c>
      <c r="Q231" s="307">
        <f>Q210+Q229</f>
        <v>301236.23</v>
      </c>
      <c r="R231" s="311"/>
      <c r="S231" s="320">
        <f>L231-Q231</f>
        <v>74496.280000000028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23857.484059215756</v>
      </c>
      <c r="G233" s="361"/>
      <c r="H233" s="333"/>
      <c r="I233" s="335"/>
      <c r="J233" s="332"/>
      <c r="K233" s="334"/>
      <c r="L233" s="335">
        <f>L194-L231</f>
        <v>24313.849999999977</v>
      </c>
      <c r="M233" s="332"/>
      <c r="N233" s="335">
        <f>L233-F233</f>
        <v>456.36594078422058</v>
      </c>
      <c r="O233" s="332"/>
      <c r="P233" s="334"/>
      <c r="Q233" s="335">
        <f>Q194-Q231</f>
        <v>61360.59999999986</v>
      </c>
      <c r="R233" s="332"/>
      <c r="S233" s="335">
        <f>L233-Q233</f>
        <v>-37046.749999999884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7" t="s">
        <v>343</v>
      </c>
      <c r="E238" s="1298"/>
      <c r="F238" s="1299"/>
      <c r="G238" s="1302"/>
      <c r="H238" s="1298"/>
      <c r="I238" s="1299"/>
      <c r="J238" s="1302" t="s">
        <v>344</v>
      </c>
      <c r="K238" s="1298"/>
      <c r="L238" s="1299"/>
      <c r="M238" s="1302" t="s">
        <v>3310</v>
      </c>
      <c r="N238" s="1299"/>
      <c r="O238" s="1297" t="s">
        <v>345</v>
      </c>
      <c r="P238" s="1298"/>
      <c r="Q238" s="1299"/>
      <c r="R238" s="1300" t="s">
        <v>3312</v>
      </c>
      <c r="S238" s="130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118800</v>
      </c>
      <c r="F241" s="291" cm="1">
        <f t="array" ref="F241">+SUMPRODUCT(('Budget original'!$A$8:$A$501=$A241)*('Budget original'!$C$3:$AO$3=F$2),'Budget original'!$C$8:$AO$501)</f>
        <v>19008</v>
      </c>
      <c r="G241" s="322"/>
      <c r="H241" s="291"/>
      <c r="I241" s="291"/>
      <c r="J241" s="277">
        <f>-SUMIFS(BV_Data_An_Cour!$P:$P,BV_Data_An_Cour!$U:$U,$B241,BV_Data_An_Cour!$V:$V,$C241,BV_Data_An_Cour!$W:$W,J$2)</f>
        <v>100</v>
      </c>
      <c r="K241" s="254">
        <f>-SUMIFS(BV_Data_An_Cour!$P:$P,BV_Data_An_Cour!$X:$X,"Oui",BV_Data_An_Cour!$U:$U,$B241,BV_Data_An_Cour!$V:$V,$C241)</f>
        <v>255871.64</v>
      </c>
      <c r="L241" s="256">
        <f>-SUMIFS(BV_Data_An_Cour!$P:$P,BV_Data_An_Cour!$U:$U,$B241,BV_Data_An_Cour!$V:$V,$C241,BV_Data_An_Cour!$W:$W,$L$2)</f>
        <v>35847.560000000005</v>
      </c>
      <c r="M241" s="292">
        <f>IFERROR((K241-E241)/E241,0)</f>
        <v>1.1538016835016836</v>
      </c>
      <c r="N241" s="276">
        <f>L241-F241</f>
        <v>16839.560000000005</v>
      </c>
      <c r="O241" s="277" cm="1">
        <f t="array" ref="O241">+SUMPRODUCT(('Réel 2024'!$A$8:$A$501=$A241)*('Réel 2024'!$C$3:$AO$3=O$2),'Réel 2024'!$C$8:$AO$501)</f>
        <v>17</v>
      </c>
      <c r="P241" s="254" cm="1">
        <f t="array" ref="P241">+SUMPRODUCT(('Réel 2024'!$A$8:$A$501=$A241)*('Réel 2024'!$C$3:$AO$3=P$2),'Réel 2024'!$C$8:$AO$501)</f>
        <v>32533.249999999902</v>
      </c>
      <c r="Q241" s="256" cm="1">
        <f t="array" ref="Q241">+SUMPRODUCT(('Réel 2024'!$A$8:$A$501=$A241)*('Réel 2024'!$C$3:$AO$3=Q$2),'Réel 2024'!$C$8:$AO$501)</f>
        <v>7185.4699999999903</v>
      </c>
      <c r="R241" s="292">
        <f>IF(O241=0,0,J241/O241)</f>
        <v>5.882352941176471</v>
      </c>
      <c r="S241" s="276">
        <f>L241-Q241</f>
        <v>28662.090000000015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0.14009977815439023</v>
      </c>
      <c r="M242" s="292"/>
      <c r="N242" s="276">
        <f>IFERROR(N241/M241,0)</f>
        <v>14594.847832855874</v>
      </c>
      <c r="O242" s="277"/>
      <c r="P242" s="41"/>
      <c r="Q242" s="362">
        <f>IFERROR(Q241/P241,0)</f>
        <v>0.22086542229872552</v>
      </c>
      <c r="R242" s="277"/>
      <c r="S242" s="276">
        <f>IFERROR(S241/R241,0)</f>
        <v>4872.5553000000018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118800</v>
      </c>
      <c r="F250" s="281">
        <f t="shared" si="64"/>
        <v>19008</v>
      </c>
      <c r="G250" s="282"/>
      <c r="H250" s="279"/>
      <c r="I250" s="281"/>
      <c r="J250" s="282"/>
      <c r="K250" s="279">
        <f t="shared" ref="K250:L250" si="65">K244+K247+K241</f>
        <v>255871.64</v>
      </c>
      <c r="L250" s="281">
        <f t="shared" si="65"/>
        <v>35847.560000000005</v>
      </c>
      <c r="M250" s="399">
        <f>L251-F251</f>
        <v>-1.9900221845609772E-2</v>
      </c>
      <c r="N250" s="281">
        <f>L250-F250</f>
        <v>16839.560000000005</v>
      </c>
      <c r="O250" s="282"/>
      <c r="P250" s="279">
        <f t="shared" ref="P250:Q250" si="66">P244+P247+P241</f>
        <v>32533.249999999902</v>
      </c>
      <c r="Q250" s="281">
        <f t="shared" si="66"/>
        <v>7185.4699999999903</v>
      </c>
      <c r="R250" s="399">
        <f>L251-Q251</f>
        <v>-8.0765644144335291E-2</v>
      </c>
      <c r="S250" s="281">
        <f>L250-Q250</f>
        <v>28662.090000000015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0.14009977815439023</v>
      </c>
      <c r="M251" s="286"/>
      <c r="N251" s="287">
        <f>N250/F250</f>
        <v>0.88591961279461306</v>
      </c>
      <c r="O251" s="283"/>
      <c r="P251" s="284"/>
      <c r="Q251" s="287">
        <f>Q250/P250</f>
        <v>0.22086542229872552</v>
      </c>
      <c r="R251" s="286"/>
      <c r="S251" s="287">
        <f>IF(Q250=0,0,(S250/Q250))</f>
        <v>3.988895646352995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971.88</v>
      </c>
      <c r="M254" s="253"/>
      <c r="N254" s="276">
        <f t="shared" ref="N254:N284" si="67">L254-F254</f>
        <v>649.77791666666667</v>
      </c>
      <c r="O254" s="253"/>
      <c r="P254" s="41"/>
      <c r="Q254" s="256" cm="1">
        <f t="array" ref="Q254">+SUMPRODUCT(('Réel 2024'!$A$8:$A$501=$A254)*('Réel 2024'!$C$3:$AO$3=Q$2),'Réel 2024'!$C$8:$AO$501)</f>
        <v>1803.76</v>
      </c>
      <c r="R254" s="253"/>
      <c r="S254" s="256">
        <f t="shared" ref="S254:S285" si="68">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11420.547646159997</v>
      </c>
      <c r="G255" s="298"/>
      <c r="H255" s="41"/>
      <c r="I255" s="248"/>
      <c r="J255" s="253"/>
      <c r="K255" s="41"/>
      <c r="L255" s="256">
        <f>SUMIFS(BV_Data_An_Cour!$P:$P,BV_Data_An_Cour!$U:$U,$B255,BV_Data_An_Cour!$V:$V,$C255,BV_Data_An_Cour!$W:$W,$L$2)</f>
        <v>12562.67</v>
      </c>
      <c r="M255" s="253"/>
      <c r="N255" s="276">
        <f t="shared" si="67"/>
        <v>1142.1223538400027</v>
      </c>
      <c r="O255" s="253"/>
      <c r="P255" s="41"/>
      <c r="Q255" s="256" cm="1">
        <f t="array" ref="Q255">+SUMPRODUCT(('Réel 2024'!$A$8:$A$501=$A255)*('Réel 2024'!$C$3:$AO$3=Q$2),'Réel 2024'!$C$8:$AO$501)</f>
        <v>7029.38</v>
      </c>
      <c r="R255" s="253"/>
      <c r="S255" s="276">
        <f t="shared" si="68"/>
        <v>5533.29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0.16</v>
      </c>
      <c r="R256" s="241"/>
      <c r="S256" s="317">
        <f t="shared" si="68"/>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1409.0235096756983</v>
      </c>
      <c r="G261" s="298"/>
      <c r="H261" s="41"/>
      <c r="I261" s="248"/>
      <c r="J261" s="253"/>
      <c r="K261" s="41"/>
      <c r="L261" s="256">
        <f>SUMIFS(BV_Data_An_Cour!$P:$P,BV_Data_An_Cour!$U:$U,$B261,BV_Data_An_Cour!$V:$V,$C261,BV_Data_An_Cour!$W:$W,$L$2)</f>
        <v>1316.49</v>
      </c>
      <c r="M261" s="253"/>
      <c r="N261" s="276">
        <f t="shared" si="67"/>
        <v>-92.533509675698269</v>
      </c>
      <c r="O261" s="253"/>
      <c r="P261" s="41"/>
      <c r="Q261" s="256" cm="1">
        <f t="array" ref="Q261">+SUMPRODUCT(('Réel 2024'!$A$8:$A$501=$A261)*('Réel 2024'!$C$3:$AO$3=Q$2),'Réel 2024'!$C$8:$AO$501)</f>
        <v>768.98</v>
      </c>
      <c r="R261" s="253"/>
      <c r="S261" s="276">
        <f t="shared" si="68"/>
        <v>547.51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1713.1739589008489</v>
      </c>
      <c r="G262" s="316"/>
      <c r="H262" s="315"/>
      <c r="I262" s="254"/>
      <c r="J262" s="241"/>
      <c r="K262" s="315"/>
      <c r="L262" s="272">
        <f>SUMIFS(BV_Data_An_Cour!$P:$P,BV_Data_An_Cour!$U:$U,$B262,BV_Data_An_Cour!$V:$V,$C262,BV_Data_An_Cour!$W:$W,$L$2)</f>
        <v>2757.65</v>
      </c>
      <c r="M262" s="241"/>
      <c r="N262" s="317">
        <f t="shared" si="67"/>
        <v>1044.4760410991512</v>
      </c>
      <c r="O262" s="241"/>
      <c r="P262" s="315"/>
      <c r="Q262" s="272" cm="1">
        <f t="array" ref="Q262">+SUMPRODUCT(('Réel 2024'!$A$8:$A$501=$A262)*('Réel 2024'!$C$3:$AO$3=Q$2),'Réel 2024'!$C$8:$AO$501)</f>
        <v>3029.54</v>
      </c>
      <c r="R262" s="241"/>
      <c r="S262" s="317">
        <f t="shared" si="68"/>
        <v>-271.88999999999987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882.65701795543725</v>
      </c>
      <c r="G263" s="298"/>
      <c r="H263" s="41"/>
      <c r="I263" s="254"/>
      <c r="J263" s="253"/>
      <c r="K263" s="41"/>
      <c r="L263" s="256">
        <f>SUMIFS(BV_Data_An_Cour!$P:$P,BV_Data_An_Cour!$U:$U,$B263,BV_Data_An_Cour!$V:$V,$C263,BV_Data_An_Cour!$W:$W,$L$2)</f>
        <v>681.82</v>
      </c>
      <c r="M263" s="253"/>
      <c r="N263" s="276">
        <f t="shared" si="67"/>
        <v>-200.8370179554372</v>
      </c>
      <c r="O263" s="253"/>
      <c r="P263" s="41"/>
      <c r="Q263" s="256" cm="1">
        <f t="array" ref="Q263">+SUMPRODUCT(('Réel 2024'!$A$8:$A$501=$A263)*('Réel 2024'!$C$3:$AO$3=Q$2),'Réel 2024'!$C$8:$AO$501)</f>
        <v>893.25</v>
      </c>
      <c r="R263" s="253"/>
      <c r="S263" s="276">
        <f t="shared" si="68"/>
        <v>-211.42999999999995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384.84342555019066</v>
      </c>
      <c r="G264" s="298"/>
      <c r="H264" s="41"/>
      <c r="I264" s="254"/>
      <c r="J264" s="253"/>
      <c r="K264" s="41"/>
      <c r="L264" s="256">
        <f>SUMIFS(BV_Data_An_Cour!$P:$P,BV_Data_An_Cour!$U:$U,$B264,BV_Data_An_Cour!$V:$V,$C264,BV_Data_An_Cour!$W:$W,$L$2)</f>
        <v>622.96</v>
      </c>
      <c r="M264" s="253"/>
      <c r="N264" s="276">
        <f t="shared" si="67"/>
        <v>238.11657444980938</v>
      </c>
      <c r="O264" s="253"/>
      <c r="P264" s="41"/>
      <c r="Q264" s="256" cm="1">
        <f t="array" ref="Q264">+SUMPRODUCT(('Réel 2024'!$A$8:$A$501=$A264)*('Réel 2024'!$C$3:$AO$3=Q$2),'Réel 2024'!$C$8:$AO$501)</f>
        <v>510.84</v>
      </c>
      <c r="R264" s="253"/>
      <c r="S264" s="276">
        <f t="shared" si="68"/>
        <v>112.12000000000006</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16151.339308242172</v>
      </c>
      <c r="G266" s="308"/>
      <c r="H266" s="306"/>
      <c r="I266" s="307"/>
      <c r="J266" s="308" t="s">
        <v>119</v>
      </c>
      <c r="K266" s="306">
        <f>IF(L244=0,0,L266/L$244)</f>
        <v>0</v>
      </c>
      <c r="L266" s="307">
        <f>+SUM(L254:L265)</f>
        <v>18913.55</v>
      </c>
      <c r="M266" s="355"/>
      <c r="N266" s="320">
        <f t="shared" si="67"/>
        <v>2762.2106917578276</v>
      </c>
      <c r="O266" s="308" t="s">
        <v>119</v>
      </c>
      <c r="P266" s="306" t="e">
        <f>Q266/Q$244</f>
        <v>#DIV/0!</v>
      </c>
      <c r="Q266" s="307">
        <f>+SUM(Q254:Q265)</f>
        <v>14035.91</v>
      </c>
      <c r="R266" s="355"/>
      <c r="S266" s="320">
        <f t="shared" si="68"/>
        <v>4877.6399999999994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545.54999999999995</v>
      </c>
      <c r="M267" s="253"/>
      <c r="N267" s="276">
        <f t="shared" si="67"/>
        <v>545.54999999999995</v>
      </c>
      <c r="O267" s="253"/>
      <c r="P267" s="41"/>
      <c r="Q267" s="256" cm="1">
        <f t="array" ref="Q267">+SUMPRODUCT(('Réel 2024'!$A$8:$A$501=$A267)*('Réel 2024'!$C$3:$AO$3=Q$2),'Réel 2024'!$C$8:$AO$501)</f>
        <v>31.5</v>
      </c>
      <c r="R267" s="253"/>
      <c r="S267" s="276">
        <f t="shared" si="68"/>
        <v>514.04999999999995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860.74</v>
      </c>
      <c r="M268" s="253"/>
      <c r="N268" s="276">
        <f t="shared" si="67"/>
        <v>-262.61596256114217</v>
      </c>
      <c r="O268" s="253"/>
      <c r="P268" s="41"/>
      <c r="Q268" s="256" cm="1">
        <f t="array" ref="Q268">+SUMPRODUCT(('Réel 2024'!$A$8:$A$501=$A268)*('Réel 2024'!$C$3:$AO$3=Q$2),'Réel 2024'!$C$8:$AO$501)</f>
        <v>11717.2</v>
      </c>
      <c r="R268" s="253"/>
      <c r="S268" s="276">
        <f t="shared" si="68"/>
        <v>-10856.460000000001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323.88</v>
      </c>
      <c r="M269" s="246"/>
      <c r="N269" s="296">
        <f t="shared" si="67"/>
        <v>74.872799999999984</v>
      </c>
      <c r="O269" s="246"/>
      <c r="P269" s="318"/>
      <c r="Q269" s="256" cm="1">
        <f t="array" ref="Q269">+SUMPRODUCT(('Réel 2024'!$A$8:$A$501=$A269)*('Réel 2024'!$C$3:$AO$3=Q$2),'Réel 2024'!$C$8:$AO$501)</f>
        <v>335.68</v>
      </c>
      <c r="R269" s="246"/>
      <c r="S269" s="296">
        <f t="shared" si="68"/>
        <v>-11.800000000000011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4146.5</v>
      </c>
      <c r="G270" s="298"/>
      <c r="H270" s="41"/>
      <c r="I270" s="254"/>
      <c r="J270" s="253"/>
      <c r="K270" s="41"/>
      <c r="L270" s="272">
        <f>SUMIFS(BV_Data_An_Cour!$P:$P,BV_Data_An_Cour!$U:$U,$B270,BV_Data_An_Cour!$V:$V,$C270,BV_Data_An_Cour!$W:$W,$L$2)</f>
        <v>2213.19</v>
      </c>
      <c r="M270" s="253"/>
      <c r="N270" s="276">
        <f t="shared" si="67"/>
        <v>-1933.31</v>
      </c>
      <c r="O270" s="253"/>
      <c r="P270" s="41"/>
      <c r="Q270" s="272" cm="1">
        <f t="array" ref="Q270">+SUMPRODUCT(('Réel 2024'!$A$8:$A$501=$A270)*('Réel 2024'!$C$3:$AO$3=Q$2),'Réel 2024'!$C$8:$AO$501)</f>
        <v>3390.52</v>
      </c>
      <c r="R270" s="253"/>
      <c r="S270" s="276">
        <f t="shared" si="68"/>
        <v>-1177.33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500</v>
      </c>
      <c r="G271" s="298"/>
      <c r="H271" s="41"/>
      <c r="I271" s="254"/>
      <c r="J271" s="253"/>
      <c r="K271" s="41"/>
      <c r="L271" s="256">
        <f>SUMIFS(BV_Data_An_Cour!$P:$P,BV_Data_An_Cour!$U:$U,$B271,BV_Data_An_Cour!$V:$V,$C271,BV_Data_An_Cour!$W:$W,$L$2)</f>
        <v>228.1</v>
      </c>
      <c r="M271" s="253"/>
      <c r="N271" s="276">
        <f t="shared" si="67"/>
        <v>-271.89999999999998</v>
      </c>
      <c r="O271" s="253"/>
      <c r="P271" s="41"/>
      <c r="Q271" s="256" cm="1">
        <f t="array" ref="Q271">+SUMPRODUCT(('Réel 2024'!$A$8:$A$501=$A271)*('Réel 2024'!$C$3:$AO$3=Q$2),'Réel 2024'!$C$8:$AO$501)</f>
        <v>496.1</v>
      </c>
      <c r="R271" s="253"/>
      <c r="S271" s="276">
        <f t="shared" si="68"/>
        <v>-268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2112.7400000000002</v>
      </c>
      <c r="G272" s="300"/>
      <c r="H272" s="318"/>
      <c r="I272" s="248"/>
      <c r="J272" s="246"/>
      <c r="K272" s="318"/>
      <c r="L272" s="256">
        <f>SUMIFS(BV_Data_An_Cour!$P:$P,BV_Data_An_Cour!$U:$U,$B272,BV_Data_An_Cour!$V:$V,$C272,BV_Data_An_Cour!$W:$W,$L$2)</f>
        <v>1947.07</v>
      </c>
      <c r="M272" s="246"/>
      <c r="N272" s="296">
        <f t="shared" si="67"/>
        <v>-165.6700000000003</v>
      </c>
      <c r="O272" s="246"/>
      <c r="P272" s="318"/>
      <c r="Q272" s="248" cm="1">
        <f t="array" ref="Q272">+SUMPRODUCT(('Réel 2024'!$A$8:$A$501=$A272)*('Réel 2024'!$C$3:$AO$3=Q$2),'Réel 2024'!$C$8:$AO$501)</f>
        <v>1667.07</v>
      </c>
      <c r="R272" s="246"/>
      <c r="S272" s="296">
        <f t="shared" si="68"/>
        <v>280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238</v>
      </c>
      <c r="G276" s="298"/>
      <c r="H276" s="41"/>
      <c r="I276" s="254"/>
      <c r="J276" s="253"/>
      <c r="K276" s="41"/>
      <c r="L276" s="256">
        <f>SUMIFS(BV_Data_An_Cour!$P:$P,BV_Data_An_Cour!$U:$U,$B276,BV_Data_An_Cour!$V:$V,$C276,BV_Data_An_Cour!$W:$W,$L$2)</f>
        <v>31.04</v>
      </c>
      <c r="M276" s="253"/>
      <c r="N276" s="276">
        <f t="shared" si="67"/>
        <v>-206.96</v>
      </c>
      <c r="O276" s="253"/>
      <c r="P276" s="41"/>
      <c r="Q276" s="256" cm="1">
        <f t="array" ref="Q276">+SUMPRODUCT(('Réel 2024'!$A$8:$A$501=$A276)*('Réel 2024'!$C$3:$AO$3=Q$2),'Réel 2024'!$C$8:$AO$501)</f>
        <v>263.32</v>
      </c>
      <c r="R276" s="253"/>
      <c r="S276" s="276">
        <f t="shared" si="68"/>
        <v>-232.28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61.25</v>
      </c>
      <c r="G277" s="298"/>
      <c r="H277" s="41"/>
      <c r="I277" s="254"/>
      <c r="J277" s="253"/>
      <c r="K277" s="41"/>
      <c r="L277" s="256">
        <f>SUMIFS(BV_Data_An_Cour!$P:$P,BV_Data_An_Cour!$U:$U,$B277,BV_Data_An_Cour!$V:$V,$C277,BV_Data_An_Cour!$W:$W,$L$2)</f>
        <v>106.59</v>
      </c>
      <c r="M277" s="253"/>
      <c r="N277" s="276">
        <f t="shared" si="67"/>
        <v>45.34</v>
      </c>
      <c r="O277" s="253"/>
      <c r="P277" s="41"/>
      <c r="Q277" s="256" cm="1">
        <f t="array" ref="Q277">+SUMPRODUCT(('Réel 2024'!$A$8:$A$501=$A277)*('Réel 2024'!$C$3:$AO$3=Q$2),'Réel 2024'!$C$8:$AO$501)</f>
        <v>70.349999999999994</v>
      </c>
      <c r="R277" s="253"/>
      <c r="S277" s="276">
        <f t="shared" si="68"/>
        <v>36.240000000000009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99.715000000000018</v>
      </c>
      <c r="G278" s="298"/>
      <c r="H278" s="41"/>
      <c r="I278" s="254"/>
      <c r="J278" s="253"/>
      <c r="K278" s="41"/>
      <c r="L278" s="256">
        <f>SUMIFS(BV_Data_An_Cour!$P:$P,BV_Data_An_Cour!$U:$U,$B278,BV_Data_An_Cour!$V:$V,$C278,BV_Data_An_Cour!$W:$W,$L$2)</f>
        <v>68.31</v>
      </c>
      <c r="M278" s="253"/>
      <c r="N278" s="276">
        <f t="shared" si="67"/>
        <v>-31.405000000000015</v>
      </c>
      <c r="O278" s="253"/>
      <c r="P278" s="41"/>
      <c r="Q278" s="256" cm="1">
        <f t="array" ref="Q278">+SUMPRODUCT(('Réel 2024'!$A$8:$A$501=$A278)*('Réel 2024'!$C$3:$AO$3=Q$2),'Réel 2024'!$C$8:$AO$501)</f>
        <v>256.74</v>
      </c>
      <c r="R278" s="253"/>
      <c r="S278" s="276">
        <f t="shared" si="68"/>
        <v>-188.43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52.500000000000007</v>
      </c>
      <c r="G279" s="298"/>
      <c r="H279" s="41"/>
      <c r="I279" s="254"/>
      <c r="J279" s="253"/>
      <c r="K279" s="41"/>
      <c r="L279" s="256">
        <f>SUMIFS(BV_Data_An_Cour!$P:$P,BV_Data_An_Cour!$U:$U,$B279,BV_Data_An_Cour!$V:$V,$C279,BV_Data_An_Cour!$W:$W,$L$2)</f>
        <v>120.45</v>
      </c>
      <c r="M279" s="253"/>
      <c r="N279" s="276">
        <f t="shared" si="67"/>
        <v>67.949999999999989</v>
      </c>
      <c r="O279" s="253"/>
      <c r="P279" s="41"/>
      <c r="Q279" s="256" cm="1">
        <f t="array" ref="Q279">+SUMPRODUCT(('Réel 2024'!$A$8:$A$501=$A279)*('Réel 2024'!$C$3:$AO$3=Q$2),'Réel 2024'!$C$8:$AO$501)</f>
        <v>35.15</v>
      </c>
      <c r="R279" s="253"/>
      <c r="S279" s="276">
        <f t="shared" si="68"/>
        <v>85.300000000000011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333.33333333333331</v>
      </c>
      <c r="G280" s="298"/>
      <c r="H280" s="41"/>
      <c r="I280" s="254"/>
      <c r="J280" s="253"/>
      <c r="K280" s="41"/>
      <c r="L280" s="256">
        <f>SUMIFS(BV_Data_An_Cour!$P:$P,BV_Data_An_Cour!$U:$U,$B280,BV_Data_An_Cour!$V:$V,$C280,BV_Data_An_Cour!$W:$W,$L$2)</f>
        <v>171.02</v>
      </c>
      <c r="M280" s="253"/>
      <c r="N280" s="276">
        <f t="shared" si="67"/>
        <v>-162.3133333333333</v>
      </c>
      <c r="O280" s="253"/>
      <c r="P280" s="41"/>
      <c r="Q280" s="256" cm="1">
        <f t="array" ref="Q280">+SUMPRODUCT(('Réel 2024'!$A$8:$A$501=$A280)*('Réel 2024'!$C$3:$AO$3=Q$2),'Réel 2024'!$C$8:$AO$501)</f>
        <v>88.91</v>
      </c>
      <c r="R280" s="253"/>
      <c r="S280" s="276">
        <f t="shared" si="68"/>
        <v>82.110000000000014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324.61086490971371</v>
      </c>
      <c r="G281" s="298"/>
      <c r="H281" s="41"/>
      <c r="I281" s="254"/>
      <c r="J281" s="253"/>
      <c r="K281" s="41"/>
      <c r="L281" s="256">
        <f>SUMIFS(BV_Data_An_Cour!$P:$P,BV_Data_An_Cour!$U:$U,$B281,BV_Data_An_Cour!$V:$V,$C281,BV_Data_An_Cour!$W:$W,L$2)</f>
        <v>520.64</v>
      </c>
      <c r="M281" s="253"/>
      <c r="N281" s="276">
        <f t="shared" si="67"/>
        <v>196.02913509028627</v>
      </c>
      <c r="O281" s="253"/>
      <c r="P281" s="41"/>
      <c r="Q281" s="256" cm="1">
        <f t="array" ref="Q281">+SUMPRODUCT(('Réel 2024'!$A$8:$A$501=$A281)*('Réel 2024'!$C$3:$AO$3=Q$2),'Réel 2024'!$C$8:$AO$501)</f>
        <v>276.01</v>
      </c>
      <c r="R281" s="253"/>
      <c r="S281" s="276">
        <f t="shared" si="68"/>
        <v>244.63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0.48616437083355379</v>
      </c>
      <c r="F285" s="307">
        <f>+SUM(F267:F284)</f>
        <v>9241.0123608041904</v>
      </c>
      <c r="G285" s="308"/>
      <c r="H285" s="306"/>
      <c r="I285" s="307"/>
      <c r="J285" s="308" t="s">
        <v>119</v>
      </c>
      <c r="K285" s="306">
        <f>IF(L262=0,0,L285/L$241)</f>
        <v>0.19908133217435162</v>
      </c>
      <c r="L285" s="307">
        <f>+SUM(L267:L284)</f>
        <v>7136.5800000000008</v>
      </c>
      <c r="M285" s="311"/>
      <c r="N285" s="307">
        <f>+SUM(N267:N284)</f>
        <v>-2104.43236080419</v>
      </c>
      <c r="O285" s="308" t="s">
        <v>119</v>
      </c>
      <c r="P285" s="306">
        <f>IF(Q250=0,0,Q285/Q$250)</f>
        <v>2.5925304816525609</v>
      </c>
      <c r="Q285" s="307">
        <f>+SUM(Q267:Q284)</f>
        <v>18628.550000000003</v>
      </c>
      <c r="R285" s="311"/>
      <c r="S285" s="307">
        <f t="shared" si="68"/>
        <v>-11491.970000000001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1.335877086965823</v>
      </c>
      <c r="F287" s="307">
        <f>F266+F285</f>
        <v>25392.351669046362</v>
      </c>
      <c r="G287" s="308"/>
      <c r="H287" s="306"/>
      <c r="I287" s="307"/>
      <c r="J287" s="308" t="s">
        <v>119</v>
      </c>
      <c r="K287" s="306" t="e">
        <f>IF(L264=0,0,L287/L$244)</f>
        <v>#DIV/0!</v>
      </c>
      <c r="L287" s="307">
        <f>L266+L285</f>
        <v>26050.13</v>
      </c>
      <c r="M287" s="311"/>
      <c r="N287" s="320">
        <f>L287-F287</f>
        <v>657.77833095363894</v>
      </c>
      <c r="O287" s="308" t="s">
        <v>119</v>
      </c>
      <c r="P287" s="306">
        <f>IF(Q250=0,0,Q287/Q$250)</f>
        <v>4.5459044432723328</v>
      </c>
      <c r="Q287" s="307">
        <f>Q266+Q285</f>
        <v>32664.460000000003</v>
      </c>
      <c r="R287" s="311"/>
      <c r="S287" s="320">
        <f>L287-Q287</f>
        <v>-6614.3300000000017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-6384.3516690463621</v>
      </c>
      <c r="G289" s="361"/>
      <c r="H289" s="333"/>
      <c r="I289" s="335"/>
      <c r="J289" s="332"/>
      <c r="K289" s="334"/>
      <c r="L289" s="335">
        <f>L250-L287</f>
        <v>9797.4300000000039</v>
      </c>
      <c r="M289" s="332"/>
      <c r="N289" s="335">
        <f>L289-F289</f>
        <v>16181.781669046366</v>
      </c>
      <c r="O289" s="332"/>
      <c r="P289" s="334"/>
      <c r="Q289" s="335">
        <f>Q250-Q287</f>
        <v>-25478.990000000013</v>
      </c>
      <c r="R289" s="332"/>
      <c r="S289" s="335">
        <f>L289-Q289</f>
        <v>35276.420000000013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7" t="s">
        <v>343</v>
      </c>
      <c r="E293" s="1298"/>
      <c r="F293" s="1299"/>
      <c r="G293" s="1302"/>
      <c r="H293" s="1298"/>
      <c r="I293" s="1299"/>
      <c r="J293" s="1302" t="s">
        <v>344</v>
      </c>
      <c r="K293" s="1298"/>
      <c r="L293" s="1299"/>
      <c r="M293" s="1302" t="s">
        <v>3310</v>
      </c>
      <c r="N293" s="1299"/>
      <c r="O293" s="1297" t="s">
        <v>345</v>
      </c>
      <c r="P293" s="1298"/>
      <c r="Q293" s="1299"/>
      <c r="R293" s="1300" t="s">
        <v>3312</v>
      </c>
      <c r="S293" s="130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140859.0749315068</v>
      </c>
      <c r="E295" s="353">
        <f t="shared" ref="E295:E303" si="70">IF(D295=0,0,F295/D295)</f>
        <v>0.35</v>
      </c>
      <c r="F295" s="276" cm="1">
        <f t="array" ref="F295">+SUMPRODUCT(('Budget original'!$A$8:$A$501=$A295)*('Budget original'!$C$3:$AO$3=F$2),'Budget original'!$C$8:$AO$501)</f>
        <v>49300.676226027375</v>
      </c>
      <c r="G295" s="291"/>
      <c r="H295" s="353"/>
      <c r="I295" s="276"/>
      <c r="J295" s="254">
        <f>-SUMIFS(BV_Data_An_Cour!$P:$P,BV_Data_An_Cour!$X:$X,"Oui",BV_Data_An_Cour!$U:$U,$B295,BV_Data_An_Cour!$V:$V,$C295)</f>
        <v>145054.24000000002</v>
      </c>
      <c r="K295" s="353">
        <f t="shared" ref="K295:K304" si="71">IF(J295&lt;=0,0,L295/J295)</f>
        <v>0.37212617845572804</v>
      </c>
      <c r="L295" s="256">
        <f>-SUMIFS(BV_Data_An_Cour!$P:$P,BV_Data_An_Cour!$U:$U,$B295,BV_Data_An_Cour!$V:$V,$C295,BV_Data_An_Cour!$W:$W,$L$2)</f>
        <v>53978.48000000001</v>
      </c>
      <c r="M295" s="292">
        <f t="shared" ref="M295:M301" si="72">(+J295-D295)/D295</f>
        <v>2.9782710631410421E-2</v>
      </c>
      <c r="N295" s="276">
        <f t="shared" ref="N295:N304" si="73">L295-F295</f>
        <v>4677.8037739726351</v>
      </c>
      <c r="O295" s="254" cm="1">
        <f t="array" ref="O295">+SUMPRODUCT(('Réel 2024'!$A$8:$A$501=$A295)*('Réel 2024'!$C$3:$AO$3=O$2),'Réel 2024'!$C$8:$AO$501)</f>
        <v>127649.33</v>
      </c>
      <c r="P295" s="353">
        <f t="shared" ref="P295:P303" si="74">IF(O295=0,0,Q295/O295)</f>
        <v>0.30501382185084713</v>
      </c>
      <c r="Q295" s="256" cm="1">
        <f t="array" ref="Q295">+SUMPRODUCT(('Réel 2024'!$A$8:$A$501=$A295)*('Réel 2024'!$C$3:$AO$3=Q$2),'Réel 2024'!$C$8:$AO$501)</f>
        <v>38934.81</v>
      </c>
      <c r="R295" s="292">
        <f t="shared" ref="R295:R304" si="75">IF(O295=0,0,(J295-O295)/O295)</f>
        <v>0.136349403479047</v>
      </c>
      <c r="S295" s="276">
        <f t="shared" ref="S295:S304" si="76">L295-Q295</f>
        <v>15043.670000000013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66000</v>
      </c>
      <c r="E296" s="353">
        <f t="shared" si="70"/>
        <v>0.23400000000000004</v>
      </c>
      <c r="F296" s="276" cm="1">
        <f t="array" ref="F296">+SUMPRODUCT(('Budget original'!$A$8:$A$501=$A296)*('Budget original'!$C$3:$AO$3=F$2),'Budget original'!$C$8:$AO$501)</f>
        <v>15444.000000000002</v>
      </c>
      <c r="G296" s="291"/>
      <c r="H296" s="353"/>
      <c r="I296" s="276"/>
      <c r="J296" s="254">
        <f>-SUMIFS(BV_Data_An_Cour!$P:$P,BV_Data_An_Cour!$X:$X,"Oui",BV_Data_An_Cour!$U:$U,$B296,BV_Data_An_Cour!$V:$V,$C296)</f>
        <v>161843.47000000003</v>
      </c>
      <c r="K296" s="353">
        <f t="shared" si="71"/>
        <v>0.23365724919269232</v>
      </c>
      <c r="L296" s="256">
        <f>-SUMIFS(BV_Data_An_Cour!$P:$P,BV_Data_An_Cour!$U:$U,$B296,BV_Data_An_Cour!$V:$V,$C296,BV_Data_An_Cour!$W:$W,$L$2)</f>
        <v>37815.900000000031</v>
      </c>
      <c r="M296" s="292">
        <f t="shared" si="72"/>
        <v>1.4521737878787884</v>
      </c>
      <c r="N296" s="276">
        <f t="shared" si="73"/>
        <v>22371.900000000031</v>
      </c>
      <c r="O296" s="254" cm="1">
        <f t="array" ref="O296">+SUMPRODUCT(('Réel 2024'!$A$8:$A$501=$A296)*('Réel 2024'!$C$3:$AO$3=O$2),'Réel 2024'!$C$8:$AO$501)</f>
        <v>13318.44</v>
      </c>
      <c r="P296" s="353">
        <f t="shared" si="74"/>
        <v>0.24015950817062659</v>
      </c>
      <c r="Q296" s="256" cm="1">
        <f t="array" ref="Q296">+SUMPRODUCT(('Réel 2024'!$A$8:$A$501=$A296)*('Réel 2024'!$C$3:$AO$3=Q$2),'Réel 2024'!$C$8:$AO$501)</f>
        <v>3198.55</v>
      </c>
      <c r="R296" s="292">
        <f t="shared" si="75"/>
        <v>11.151833848408675</v>
      </c>
      <c r="S296" s="276">
        <f t="shared" si="76"/>
        <v>34617.350000000028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127306.39407914062</v>
      </c>
      <c r="E297" s="353">
        <f t="shared" si="70"/>
        <v>0.23299999999999998</v>
      </c>
      <c r="F297" s="276" cm="1">
        <f t="array" ref="F297">+SUMPRODUCT(('Budget original'!$A$8:$A$501=$A297)*('Budget original'!$C$3:$AO$3=F$2),'Budget original'!$C$8:$AO$501)</f>
        <v>29662.389820439763</v>
      </c>
      <c r="G297" s="291"/>
      <c r="H297" s="353"/>
      <c r="I297" s="276"/>
      <c r="J297" s="254">
        <f>-SUMIFS(BV_Data_An_Cour!$P:$P,BV_Data_An_Cour!$X:$X,"Oui",BV_Data_An_Cour!$U:$U,$B297,BV_Data_An_Cour!$V:$V,$C297)</f>
        <v>205724.63</v>
      </c>
      <c r="K297" s="353">
        <f t="shared" si="71"/>
        <v>0.23219125488280129</v>
      </c>
      <c r="L297" s="256">
        <f>-SUMIFS(BV_Data_An_Cour!$P:$P,BV_Data_An_Cour!$U:$U,$B297,BV_Data_An_Cour!$V:$V,$C297,BV_Data_An_Cour!$W:$W,$L$2)</f>
        <v>47767.459999999992</v>
      </c>
      <c r="M297" s="292">
        <f t="shared" si="72"/>
        <v>0.61598034009281821</v>
      </c>
      <c r="N297" s="276">
        <f t="shared" si="73"/>
        <v>18105.070179560229</v>
      </c>
      <c r="O297" s="254" cm="1">
        <f t="array" ref="O297">+SUMPRODUCT(('Réel 2024'!$A$8:$A$501=$A297)*('Réel 2024'!$C$3:$AO$3=O$2),'Réel 2024'!$C$8:$AO$501)</f>
        <v>174728.16</v>
      </c>
      <c r="P297" s="353">
        <f t="shared" si="74"/>
        <v>0.23104964878013942</v>
      </c>
      <c r="Q297" s="256" cm="1">
        <f t="array" ref="Q297">+SUMPRODUCT(('Réel 2024'!$A$8:$A$501=$A297)*('Réel 2024'!$C$3:$AO$3=Q$2),'Réel 2024'!$C$8:$AO$501)</f>
        <v>40370.880000000005</v>
      </c>
      <c r="R297" s="292">
        <f t="shared" si="75"/>
        <v>0.17739825108900592</v>
      </c>
      <c r="S297" s="276">
        <f t="shared" si="76"/>
        <v>7396.5799999999872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160160.70999619126</v>
      </c>
      <c r="E298" s="353">
        <f t="shared" si="70"/>
        <v>0.28500000000000003</v>
      </c>
      <c r="F298" s="276" cm="1">
        <f t="array" ref="F298">+SUMPRODUCT(('Budget original'!$A$8:$A$501=$A298)*('Budget original'!$C$3:$AO$3=F$2),'Budget original'!$C$8:$AO$501)</f>
        <v>45645.802348914513</v>
      </c>
      <c r="G298" s="291"/>
      <c r="H298" s="353"/>
      <c r="I298" s="276"/>
      <c r="J298" s="254">
        <f>-SUMIFS(BV_Data_An_Cour!$P:$P,BV_Data_An_Cour!$X:$X,"Oui",BV_Data_An_Cour!$U:$U,$B298,BV_Data_An_Cour!$V:$V,$C298)</f>
        <v>127363.93</v>
      </c>
      <c r="K298" s="353">
        <f t="shared" si="71"/>
        <v>0.2900873897342835</v>
      </c>
      <c r="L298" s="256">
        <f>-SUMIFS(BV_Data_An_Cour!$P:$P,BV_Data_An_Cour!$U:$U,$B298,BV_Data_An_Cour!$V:$V,$C298,BV_Data_An_Cour!$W:$W,$L$2)</f>
        <v>36946.67</v>
      </c>
      <c r="M298" s="292">
        <f t="shared" si="72"/>
        <v>-0.20477419210348904</v>
      </c>
      <c r="N298" s="276">
        <f t="shared" si="73"/>
        <v>-8699.1323489145143</v>
      </c>
      <c r="O298" s="254" cm="1">
        <f t="array" ref="O298">+SUMPRODUCT(('Réel 2024'!$A$8:$A$501=$A298)*('Réel 2024'!$C$3:$AO$3=O$2),'Réel 2024'!$C$8:$AO$501)</f>
        <v>143935.57</v>
      </c>
      <c r="P298" s="353">
        <f t="shared" si="74"/>
        <v>0.26375155217018209</v>
      </c>
      <c r="Q298" s="256" cm="1">
        <f t="array" ref="Q298">+SUMPRODUCT(('Réel 2024'!$A$8:$A$501=$A298)*('Réel 2024'!$C$3:$AO$3=Q$2),'Réel 2024'!$C$8:$AO$501)</f>
        <v>37963.229999999901</v>
      </c>
      <c r="R298" s="292">
        <f t="shared" si="75"/>
        <v>-0.1151323470633424</v>
      </c>
      <c r="S298" s="276">
        <f t="shared" si="76"/>
        <v>-1016.5599999999031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32903.838167789698</v>
      </c>
      <c r="E299" s="353">
        <f t="shared" si="70"/>
        <v>0.28499999999999998</v>
      </c>
      <c r="F299" s="276" cm="1">
        <f t="array" ref="F299">+SUMPRODUCT(('Budget original'!$A$8:$A$501=$A299)*('Budget original'!$C$3:$AO$3=F$2),'Budget original'!$C$8:$AO$501)</f>
        <v>9377.5938778200634</v>
      </c>
      <c r="G299" s="291"/>
      <c r="H299" s="353"/>
      <c r="I299" s="276"/>
      <c r="J299" s="254">
        <f>-SUMIFS(BV_Data_An_Cour!$P:$P,BV_Data_An_Cour!$X:$X,"Oui",BV_Data_An_Cour!$U:$U,$B299,BV_Data_An_Cour!$V:$V,$C299)</f>
        <v>21384.39</v>
      </c>
      <c r="K299" s="353">
        <f t="shared" si="71"/>
        <v>0.31099507631501289</v>
      </c>
      <c r="L299" s="256">
        <f>-SUMIFS(BV_Data_An_Cour!$P:$P,BV_Data_An_Cour!$U:$U,$B299,BV_Data_An_Cour!$V:$V,$C299,BV_Data_An_Cour!$W:$W,$L$2)</f>
        <v>6650.4399999999987</v>
      </c>
      <c r="M299" s="292">
        <f t="shared" si="72"/>
        <v>-0.35009436008794692</v>
      </c>
      <c r="N299" s="276">
        <f t="shared" si="73"/>
        <v>-2727.1538778200647</v>
      </c>
      <c r="O299" s="254" cm="1">
        <f t="array" ref="O299">+SUMPRODUCT(('Réel 2024'!$A$8:$A$501=$A299)*('Réel 2024'!$C$3:$AO$3=O$2),'Réel 2024'!$C$8:$AO$501)</f>
        <v>30512.760000000002</v>
      </c>
      <c r="P299" s="353">
        <f t="shared" si="74"/>
        <v>0.30912182313235481</v>
      </c>
      <c r="Q299" s="256" cm="1">
        <f t="array" ref="Q299">+SUMPRODUCT(('Réel 2024'!$A$8:$A$501=$A299)*('Réel 2024'!$C$3:$AO$3=Q$2),'Réel 2024'!$C$8:$AO$501)</f>
        <v>9432.1599999999908</v>
      </c>
      <c r="R299" s="292">
        <f t="shared" si="75"/>
        <v>-0.29916566053021759</v>
      </c>
      <c r="S299" s="276">
        <f t="shared" si="76"/>
        <v>-2781.7199999999921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337776.5603363791</v>
      </c>
      <c r="E300" s="353">
        <f t="shared" si="70"/>
        <v>0.13500000000000001</v>
      </c>
      <c r="F300" s="276" cm="1">
        <f t="array" ref="F300">+SUMPRODUCT(('Budget original'!$A$8:$A$501=$A300)*('Budget original'!$C$3:$AO$3=F$2),'Budget original'!$C$8:$AO$501)</f>
        <v>45599.835645411178</v>
      </c>
      <c r="G300" s="291"/>
      <c r="H300" s="353"/>
      <c r="I300" s="276"/>
      <c r="J300" s="254">
        <f>-SUMIFS(BV_Data_An_Cour!$P:$P,BV_Data_An_Cour!$X:$X,"Oui",BV_Data_An_Cour!$U:$U,$B300,BV_Data_An_Cour!$V:$V,$C300)</f>
        <v>479293.16</v>
      </c>
      <c r="K300" s="353">
        <f t="shared" si="71"/>
        <v>0.15090707741374815</v>
      </c>
      <c r="L300" s="256">
        <f>-SUMIFS(BV_Data_An_Cour!$P:$P,BV_Data_An_Cour!$U:$U,$B300,BV_Data_An_Cour!$V:$V,$C300,BV_Data_An_Cour!$W:$W,$L$2)</f>
        <v>72328.729999999967</v>
      </c>
      <c r="M300" s="292">
        <f t="shared" si="72"/>
        <v>0.4189651274875017</v>
      </c>
      <c r="N300" s="276">
        <f t="shared" si="73"/>
        <v>26728.894354588789</v>
      </c>
      <c r="O300" s="254" cm="1">
        <f t="array" ref="O300">+SUMPRODUCT(('Réel 2024'!$A$8:$A$501=$A300)*('Réel 2024'!$C$3:$AO$3=O$2),'Réel 2024'!$C$8:$AO$501)</f>
        <v>396618.38</v>
      </c>
      <c r="P300" s="353">
        <f t="shared" si="74"/>
        <v>0.12566288531560188</v>
      </c>
      <c r="Q300" s="256" cm="1">
        <f t="array" ref="Q300">+SUMPRODUCT(('Réel 2024'!$A$8:$A$501=$A300)*('Réel 2024'!$C$3:$AO$3=Q$2),'Réel 2024'!$C$8:$AO$501)</f>
        <v>49840.209999999803</v>
      </c>
      <c r="R300" s="292">
        <f t="shared" si="75"/>
        <v>0.20844918987365127</v>
      </c>
      <c r="S300" s="276">
        <f t="shared" si="76"/>
        <v>22488.520000000164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12110.092085154103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12091.96</v>
      </c>
      <c r="M302" s="292"/>
      <c r="N302" s="276">
        <f t="shared" si="73"/>
        <v>-18.132085154104061</v>
      </c>
      <c r="O302" s="254" cm="1">
        <f t="array" ref="O302">+SUMPRODUCT(('Réel 2024'!$A$8:$A$501=$A302)*('Réel 2024'!$C$3:$AO$3=O$2),'Réel 2024'!$C$8:$AO$501)</f>
        <v>0</v>
      </c>
      <c r="P302" s="353">
        <f t="shared" si="74"/>
        <v>0</v>
      </c>
      <c r="Q302" s="256" cm="1">
        <f t="array" ref="Q302">+SUMPRODUCT(('Réel 2024'!$A$8:$A$501=$A302)*('Réel 2024'!$C$3:$AO$3=Q$2),'Réel 2024'!$C$8:$AO$501)</f>
        <v>12270.069999999991</v>
      </c>
      <c r="R302" s="292">
        <f t="shared" si="75"/>
        <v>0</v>
      </c>
      <c r="S302" s="276">
        <f t="shared" si="76"/>
        <v>-178.10999999999149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865006.57751100743</v>
      </c>
      <c r="E304" s="407">
        <f>IF(D304&lt;=0,0,F304/D304)</f>
        <v>0.23946683804393509</v>
      </c>
      <c r="F304" s="392">
        <f t="shared" ref="F304" si="77">SUM(F295:F303)</f>
        <v>207140.39000376701</v>
      </c>
      <c r="G304" s="390"/>
      <c r="H304" s="407"/>
      <c r="I304" s="392"/>
      <c r="J304" s="390">
        <f t="shared" ref="J304" si="78">SUM(J295:J303)</f>
        <v>1140663.82</v>
      </c>
      <c r="K304" s="407">
        <f t="shared" si="71"/>
        <v>0.23458238554458577</v>
      </c>
      <c r="L304" s="392">
        <f>SUM(L295:L303)</f>
        <v>267579.64</v>
      </c>
      <c r="M304" s="408">
        <f>(+J304-D304)/D304</f>
        <v>0.3186764698161903</v>
      </c>
      <c r="N304" s="392">
        <f t="shared" si="73"/>
        <v>60439.249996233004</v>
      </c>
      <c r="O304" s="390">
        <f>SUM(O295:O303)</f>
        <v>886762.64</v>
      </c>
      <c r="P304" s="407">
        <f>IF(O304&lt;=0,0,Q304/O304)</f>
        <v>0.21652909283593599</v>
      </c>
      <c r="Q304" s="392">
        <f t="shared" ref="Q304" si="79">SUM(Q295:Q303)</f>
        <v>192009.90999999968</v>
      </c>
      <c r="R304" s="408">
        <f t="shared" si="75"/>
        <v>0.2863237224337733</v>
      </c>
      <c r="S304" s="392">
        <f t="shared" si="76"/>
        <v>75569.730000000331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0.29177916482214727</v>
      </c>
      <c r="O305" s="253"/>
      <c r="P305" s="41"/>
      <c r="Q305" s="263"/>
      <c r="R305" s="253"/>
      <c r="S305" s="265">
        <f>IF(Q304=0,0,S304/Q304)</f>
        <v>0.3935720296936781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106240.10397898444</v>
      </c>
      <c r="E307" s="353">
        <f t="shared" ref="E307:E308" si="80">IF(D307=0,0,F307/D307)</f>
        <v>0.17100000000000004</v>
      </c>
      <c r="F307" s="317" cm="1">
        <f t="array" ref="F307">+SUMPRODUCT(('Budget original'!$A$8:$A$501=$A307)*('Budget original'!$C$3:$AO$3=F$2),'Budget original'!$C$8:$AO$501)</f>
        <v>18167.057780406343</v>
      </c>
      <c r="G307" s="291"/>
      <c r="H307" s="353"/>
      <c r="I307" s="317"/>
      <c r="J307" s="254">
        <f>-SUMIFS(BV_Data_An_Cour!$P:$P,BV_Data_An_Cour!$X:$X,"Oui",BV_Data_An_Cour!$U:$U,$B307,BV_Data_An_Cour!$V:$V,$C307)</f>
        <v>123944.06</v>
      </c>
      <c r="K307" s="353">
        <f t="shared" ref="K307:K309" si="81">IF(J307&lt;=0,0,L307/J307)</f>
        <v>0.19266304492526712</v>
      </c>
      <c r="L307" s="256">
        <f>-SUMIFS(BV_Data_An_Cour!$P:$P,BV_Data_An_Cour!$U:$U,$B307,BV_Data_An_Cour!$V:$V,$C307,BV_Data_An_Cour!$W:$W,$L$2)</f>
        <v>23879.440000000002</v>
      </c>
      <c r="M307" s="292">
        <f>(+J307-D307)/D307</f>
        <v>0.16664098921173512</v>
      </c>
      <c r="N307" s="276">
        <f>L307-F307</f>
        <v>5712.3822195936591</v>
      </c>
      <c r="O307" s="254" cm="1">
        <f t="array" ref="O307">+SUMPRODUCT(('Réel 2024'!$A$8:$A$501=$A307)*('Réel 2024'!$C$3:$AO$3=O$2),'Réel 2024'!$C$8:$AO$501)</f>
        <v>103052.97</v>
      </c>
      <c r="P307" s="353">
        <f t="shared" ref="P307:P308" si="82">IF(O307=0,0,Q307/O307)</f>
        <v>0.15555825319736044</v>
      </c>
      <c r="Q307" s="256" cm="1">
        <f t="array" ref="Q307">+SUMPRODUCT(('Réel 2024'!$A$8:$A$501=$A307)*('Réel 2024'!$C$3:$AO$3=Q$2),'Réel 2024'!$C$8:$AO$501)</f>
        <v>16030.739999999991</v>
      </c>
      <c r="R307" s="292">
        <f t="shared" ref="R307:R309" si="83">IF(O307=0,0,(J307-O307)/O307)</f>
        <v>0.20272186235874615</v>
      </c>
      <c r="S307" s="276">
        <f t="shared" ref="S307:S309" si="84">L307-Q307</f>
        <v>7848.7000000000116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30507.811892324738</v>
      </c>
      <c r="E308" s="353">
        <f t="shared" si="80"/>
        <v>0.27</v>
      </c>
      <c r="F308" s="296" cm="1">
        <f t="array" ref="F308">+SUMPRODUCT(('Budget original'!$A$8:$A$501=$A308)*('Budget original'!$C$3:$AO$3=F$2),'Budget original'!$C$8:$AO$501)</f>
        <v>8237.1092109276797</v>
      </c>
      <c r="G308" s="291"/>
      <c r="H308" s="353"/>
      <c r="I308" s="296"/>
      <c r="J308" s="254">
        <f>-SUMIFS(BV_Data_An_Cour!$P:$P,BV_Data_An_Cour!$X:$X,"Oui",BV_Data_An_Cour!$U:$U,$B308,BV_Data_An_Cour!$V:$V,$C308)</f>
        <v>31984.27</v>
      </c>
      <c r="K308" s="353">
        <f t="shared" si="81"/>
        <v>0.28070736021175413</v>
      </c>
      <c r="L308" s="256">
        <f>-SUMIFS(BV_Data_An_Cour!$P:$P,BV_Data_An_Cour!$U:$U,$B308,BV_Data_An_Cour!$V:$V,$C308,BV_Data_An_Cour!$W:$W,$L$2)</f>
        <v>8978.2200000000012</v>
      </c>
      <c r="M308" s="292">
        <f>(+J308-D308)/D308</f>
        <v>4.8396066977412909E-2</v>
      </c>
      <c r="N308" s="276">
        <f>L308-F308</f>
        <v>741.1107890723215</v>
      </c>
      <c r="O308" s="254" cm="1">
        <f t="array" ref="O308">+SUMPRODUCT(('Réel 2024'!$A$8:$A$501=$A308)*('Réel 2024'!$C$3:$AO$3=O$2),'Réel 2024'!$C$8:$AO$501)</f>
        <v>32563.65</v>
      </c>
      <c r="P308" s="353">
        <f t="shared" si="82"/>
        <v>0.24740899745575173</v>
      </c>
      <c r="Q308" s="256" cm="1">
        <f t="array" ref="Q308">+SUMPRODUCT(('Réel 2024'!$A$8:$A$501=$A308)*('Réel 2024'!$C$3:$AO$3=Q$2),'Réel 2024'!$C$8:$AO$501)</f>
        <v>8056.53999999999</v>
      </c>
      <c r="R308" s="292">
        <f t="shared" si="83"/>
        <v>-1.7792231521957795E-2</v>
      </c>
      <c r="S308" s="276">
        <f t="shared" si="84"/>
        <v>921.6800000000112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1001754.4933823165</v>
      </c>
      <c r="E309" s="407">
        <f>IF(D309&lt;=0,0,F309/D309)</f>
        <v>0.23313552226410575</v>
      </c>
      <c r="F309" s="392">
        <f t="shared" ref="F309" si="85">F304+F307+F308</f>
        <v>233544.55699510104</v>
      </c>
      <c r="G309" s="393"/>
      <c r="H309" s="407"/>
      <c r="I309" s="392"/>
      <c r="J309" s="393">
        <f t="shared" ref="J309" si="86">J304+J307+J308</f>
        <v>1296592.1500000001</v>
      </c>
      <c r="K309" s="407">
        <f t="shared" si="81"/>
        <v>0.23171303327727227</v>
      </c>
      <c r="L309" s="392">
        <f>L304+L307+L308</f>
        <v>300437.30000000005</v>
      </c>
      <c r="M309" s="408">
        <f>(+J309-D309)/D309</f>
        <v>0.29432127189387081</v>
      </c>
      <c r="N309" s="392">
        <f>L309-F309</f>
        <v>66892.743004899006</v>
      </c>
      <c r="O309" s="393">
        <f>O304+O307+O308</f>
        <v>1022379.26</v>
      </c>
      <c r="P309" s="407">
        <f>IF(O309&lt;=0,0,Q309/O309)</f>
        <v>0.21136695398144095</v>
      </c>
      <c r="Q309" s="392">
        <f t="shared" ref="Q309" si="87">Q304+Q307+Q308</f>
        <v>216097.18999999965</v>
      </c>
      <c r="R309" s="408">
        <f t="shared" si="83"/>
        <v>0.26821053666522943</v>
      </c>
      <c r="S309" s="392">
        <f t="shared" si="84"/>
        <v>84340.110000000393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0.28642390071331092</v>
      </c>
      <c r="O310" s="253"/>
      <c r="P310" s="41"/>
      <c r="Q310" s="263"/>
      <c r="R310" s="253"/>
      <c r="S310" s="265">
        <f>IF(Q309=0,0,S309/Q309)</f>
        <v>0.39028786075376792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1001754.4933823165</v>
      </c>
      <c r="E314" s="410">
        <f>IF(D314&lt;=0,0,F314/D314)</f>
        <v>0.23313552226410575</v>
      </c>
      <c r="F314" s="281">
        <f t="shared" ref="F314" si="88">F309+F312</f>
        <v>233544.55699510104</v>
      </c>
      <c r="G314" s="282"/>
      <c r="H314" s="410"/>
      <c r="I314" s="281"/>
      <c r="J314" s="282">
        <f t="shared" ref="J314" si="89">J309+J312</f>
        <v>1296592.1500000001</v>
      </c>
      <c r="K314" s="410">
        <f>IF(J314&lt;=0,0,L314/J314)</f>
        <v>0.23171303327727227</v>
      </c>
      <c r="L314" s="281">
        <f>L309+L312</f>
        <v>300437.30000000005</v>
      </c>
      <c r="M314" s="411">
        <f>(+J314-D314)/D314</f>
        <v>0.29432127189387081</v>
      </c>
      <c r="N314" s="412">
        <f>L314-F314</f>
        <v>66892.743004899006</v>
      </c>
      <c r="O314" s="282">
        <f>O309+O312</f>
        <v>1022379.26</v>
      </c>
      <c r="P314" s="410">
        <f>IF(O314&lt;=0,0,Q314/O314)</f>
        <v>0.21136695398144095</v>
      </c>
      <c r="Q314" s="281">
        <f t="shared" ref="Q314" si="90">Q309+Q312</f>
        <v>216097.18999999965</v>
      </c>
      <c r="R314" s="411">
        <f>IF(O314=0,0,(J314-O314)/O314)</f>
        <v>0.26821053666522943</v>
      </c>
      <c r="S314" s="412">
        <f>L314-Q314</f>
        <v>84340.110000000393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0.28642390071331092</v>
      </c>
      <c r="O315" s="415"/>
      <c r="P315" s="414"/>
      <c r="Q315" s="335"/>
      <c r="R315" s="416"/>
      <c r="S315" s="287">
        <f>IF(Q314=0,0,S314/Q314)</f>
        <v>0.39028786075376792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12115.278205128207</v>
      </c>
      <c r="G318" s="253"/>
      <c r="H318" s="41"/>
      <c r="I318" s="254"/>
      <c r="J318" s="253"/>
      <c r="K318" s="41"/>
      <c r="L318" s="256">
        <f>SUMIFS(BV_Data_An_Cour!$P:$P,BV_Data_An_Cour!$U:$U,$B318,BV_Data_An_Cour!$V:$V,$C318,BV_Data_An_Cour!$W:$W,$L$2)</f>
        <v>15510.23</v>
      </c>
      <c r="M318" s="253"/>
      <c r="N318" s="276">
        <f t="shared" ref="N318:N348" si="91">L318-F318</f>
        <v>3394.951794871793</v>
      </c>
      <c r="O318" s="253"/>
      <c r="P318" s="41"/>
      <c r="Q318" s="256" cm="1">
        <f t="array" ref="Q318">+SUMPRODUCT(('Réel 2024'!$A$8:$A$501=$A318)*('Réel 2024'!$C$3:$AO$3=Q$2),'Réel 2024'!$C$8:$AO$501)</f>
        <v>18531.400000000001</v>
      </c>
      <c r="R318" s="253"/>
      <c r="S318" s="256">
        <f t="shared" ref="S318:S348" si="92">L318-Q318</f>
        <v>-3021.1700000000019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57726.625867741532</v>
      </c>
      <c r="G319" s="298"/>
      <c r="H319" s="41"/>
      <c r="I319" s="248"/>
      <c r="J319" s="253"/>
      <c r="K319" s="41"/>
      <c r="L319" s="256">
        <f>SUMIFS(BV_Data_An_Cour!$P:$P,BV_Data_An_Cour!$U:$U,$B319,BV_Data_An_Cour!$V:$V,$C319,BV_Data_An_Cour!$W:$W,$L$2)</f>
        <v>54510.47</v>
      </c>
      <c r="M319" s="253"/>
      <c r="N319" s="276">
        <f t="shared" si="91"/>
        <v>-3216.1558677415305</v>
      </c>
      <c r="O319" s="253"/>
      <c r="P319" s="41"/>
      <c r="Q319" s="256" cm="1">
        <f t="array" ref="Q319">+SUMPRODUCT(('Réel 2024'!$A$8:$A$501=$A319)*('Réel 2024'!$C$3:$AO$3=Q$2),'Réel 2024'!$C$8:$AO$501)</f>
        <v>53326.67</v>
      </c>
      <c r="R319" s="253"/>
      <c r="S319" s="276">
        <f t="shared" si="92"/>
        <v>1183.8000000000029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6388.61</v>
      </c>
      <c r="M320" s="241"/>
      <c r="N320" s="317">
        <f t="shared" si="91"/>
        <v>6236.6766666666663</v>
      </c>
      <c r="O320" s="241"/>
      <c r="P320" s="315"/>
      <c r="Q320" s="272" cm="1">
        <f t="array" ref="Q320">+SUMPRODUCT(('Réel 2024'!$A$8:$A$501=$A320)*('Réel 2024'!$C$3:$AO$3=Q$2),'Réel 2024'!$C$8:$AO$501)</f>
        <v>227.84</v>
      </c>
      <c r="R320" s="241"/>
      <c r="S320" s="317">
        <f t="shared" si="92"/>
        <v>6160.7699999999995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8536.918235296358</v>
      </c>
      <c r="G325" s="298"/>
      <c r="H325" s="41"/>
      <c r="I325" s="248"/>
      <c r="J325" s="253"/>
      <c r="K325" s="41"/>
      <c r="L325" s="256">
        <f>SUMIFS(BV_Data_An_Cour!$P:$P,BV_Data_An_Cour!$U:$U,$B325,BV_Data_An_Cour!$V:$V,$C325,BV_Data_An_Cour!$W:$W,$L$2)</f>
        <v>8700.66</v>
      </c>
      <c r="M325" s="253"/>
      <c r="N325" s="276">
        <f t="shared" si="91"/>
        <v>163.74176470364182</v>
      </c>
      <c r="O325" s="253"/>
      <c r="P325" s="41"/>
      <c r="Q325" s="256" cm="1">
        <f t="array" ref="Q325">+SUMPRODUCT(('Réel 2024'!$A$8:$A$501=$A325)*('Réel 2024'!$C$3:$AO$3=Q$2),'Réel 2024'!$C$8:$AO$501)</f>
        <v>8327.43</v>
      </c>
      <c r="R325" s="253"/>
      <c r="S325" s="276">
        <f t="shared" si="92"/>
        <v>373.22999999999956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10379.689131902178</v>
      </c>
      <c r="G326" s="316"/>
      <c r="H326" s="315"/>
      <c r="I326" s="254"/>
      <c r="J326" s="241"/>
      <c r="K326" s="315"/>
      <c r="L326" s="272">
        <f>SUMIFS(BV_Data_An_Cour!$P:$P,BV_Data_An_Cour!$U:$U,$B326,BV_Data_An_Cour!$V:$V,$C326,BV_Data_An_Cour!$W:$W,$L$2)</f>
        <v>13886.7</v>
      </c>
      <c r="M326" s="241"/>
      <c r="N326" s="317">
        <f t="shared" si="91"/>
        <v>3507.0108680978228</v>
      </c>
      <c r="O326" s="241"/>
      <c r="P326" s="315"/>
      <c r="Q326" s="272" cm="1">
        <f t="array" ref="Q326">+SUMPRODUCT(('Réel 2024'!$A$8:$A$501=$A326)*('Réel 2024'!$C$3:$AO$3=Q$2),'Réel 2024'!$C$8:$AO$501)</f>
        <v>17528.32</v>
      </c>
      <c r="R326" s="241"/>
      <c r="S326" s="317">
        <f t="shared" si="92"/>
        <v>-3641.619999999999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5347.7963570887305</v>
      </c>
      <c r="G327" s="298"/>
      <c r="H327" s="41"/>
      <c r="I327" s="254"/>
      <c r="J327" s="253"/>
      <c r="K327" s="41"/>
      <c r="L327" s="256">
        <f>SUMIFS(BV_Data_An_Cour!$P:$P,BV_Data_An_Cour!$U:$U,$B327,BV_Data_An_Cour!$V:$V,$C327,BV_Data_An_Cour!$W:$W,$L$2)</f>
        <v>3820.93</v>
      </c>
      <c r="M327" s="253"/>
      <c r="N327" s="276">
        <f t="shared" si="91"/>
        <v>-1526.8663570887306</v>
      </c>
      <c r="O327" s="253"/>
      <c r="P327" s="41"/>
      <c r="Q327" s="256" cm="1">
        <f t="array" ref="Q327">+SUMPRODUCT(('Réel 2024'!$A$8:$A$501=$A327)*('Réel 2024'!$C$3:$AO$3=Q$2),'Réel 2024'!$C$8:$AO$501)</f>
        <v>3723.95</v>
      </c>
      <c r="R327" s="253"/>
      <c r="S327" s="276">
        <f t="shared" si="92"/>
        <v>96.980000000000018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2331.6692977461416</v>
      </c>
      <c r="G328" s="298"/>
      <c r="H328" s="41"/>
      <c r="I328" s="254"/>
      <c r="J328" s="253"/>
      <c r="K328" s="41"/>
      <c r="L328" s="256">
        <f>SUMIFS(BV_Data_An_Cour!$P:$P,BV_Data_An_Cour!$U:$U,$B328,BV_Data_An_Cour!$V:$V,$C328,BV_Data_An_Cour!$W:$W,$L$2)</f>
        <v>2638.84</v>
      </c>
      <c r="M328" s="253"/>
      <c r="N328" s="276">
        <f t="shared" si="91"/>
        <v>307.17070225385851</v>
      </c>
      <c r="O328" s="253"/>
      <c r="P328" s="41"/>
      <c r="Q328" s="256" cm="1">
        <f t="array" ref="Q328">+SUMPRODUCT(('Réel 2024'!$A$8:$A$501=$A328)*('Réel 2024'!$C$3:$AO$3=Q$2),'Réel 2024'!$C$8:$AO$501)</f>
        <v>2774.2200000000003</v>
      </c>
      <c r="R328" s="253"/>
      <c r="S328" s="276">
        <f t="shared" si="92"/>
        <v>-135.38000000000011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0.41358236591342445</v>
      </c>
      <c r="F330" s="307">
        <f>+SUM(F318:F329)</f>
        <v>96589.910428236486</v>
      </c>
      <c r="G330" s="308"/>
      <c r="H330" s="306"/>
      <c r="I330" s="307"/>
      <c r="J330" s="308" t="s">
        <v>119</v>
      </c>
      <c r="K330" s="306">
        <f>L330/L$314</f>
        <v>0.35100981136496689</v>
      </c>
      <c r="L330" s="307">
        <f>+SUM(L318:L329)</f>
        <v>105456.43999999999</v>
      </c>
      <c r="M330" s="355"/>
      <c r="N330" s="320">
        <f t="shared" si="91"/>
        <v>8866.5295717635017</v>
      </c>
      <c r="O330" s="308" t="s">
        <v>119</v>
      </c>
      <c r="P330" s="306">
        <f>Q330/Q$314</f>
        <v>0.4833002687355637</v>
      </c>
      <c r="Q330" s="307">
        <f>+SUM(Q318:Q329)</f>
        <v>104439.83</v>
      </c>
      <c r="R330" s="355"/>
      <c r="S330" s="320">
        <f t="shared" si="92"/>
        <v>1016.609999999986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10733.75</v>
      </c>
      <c r="G331" s="298"/>
      <c r="H331" s="41"/>
      <c r="I331" s="254"/>
      <c r="J331" s="253"/>
      <c r="K331" s="41"/>
      <c r="L331" s="256">
        <f>SUMIFS(BV_Data_An_Cour!$P:$P,BV_Data_An_Cour!$U:$U,$B331,BV_Data_An_Cour!$V:$V,$C331,BV_Data_An_Cour!$W:$W,$L$2)</f>
        <v>7440.54</v>
      </c>
      <c r="M331" s="253"/>
      <c r="N331" s="276">
        <f t="shared" si="91"/>
        <v>-3293.21</v>
      </c>
      <c r="O331" s="253"/>
      <c r="P331" s="41"/>
      <c r="Q331" s="256" cm="1">
        <f t="array" ref="Q331">+SUMPRODUCT(('Réel 2024'!$A$8:$A$501=$A331)*('Réel 2024'!$C$3:$AO$3=Q$2),'Réel 2024'!$C$8:$AO$501)</f>
        <v>9789.68</v>
      </c>
      <c r="R331" s="253"/>
      <c r="S331" s="276">
        <f t="shared" si="92"/>
        <v>-2349.1400000000003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915.79</v>
      </c>
      <c r="M332" s="253"/>
      <c r="N332" s="276">
        <f t="shared" si="91"/>
        <v>-207.26155640285469</v>
      </c>
      <c r="O332" s="253"/>
      <c r="P332" s="41"/>
      <c r="Q332" s="256" cm="1">
        <f t="array" ref="Q332">+SUMPRODUCT(('Réel 2024'!$A$8:$A$501=$A332)*('Réel 2024'!$C$3:$AO$3=Q$2),'Réel 2024'!$C$8:$AO$501)</f>
        <v>6318.73</v>
      </c>
      <c r="R332" s="253"/>
      <c r="S332" s="276">
        <f t="shared" si="92"/>
        <v>-5402.94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2405.0100000000002</v>
      </c>
      <c r="M333" s="246"/>
      <c r="N333" s="296">
        <f t="shared" si="91"/>
        <v>-123.6309777777783</v>
      </c>
      <c r="O333" s="246"/>
      <c r="P333" s="318"/>
      <c r="Q333" s="256" cm="1">
        <f t="array" ref="Q333">+SUMPRODUCT(('Réel 2024'!$A$8:$A$501=$A333)*('Réel 2024'!$C$3:$AO$3=Q$2),'Réel 2024'!$C$8:$AO$501)</f>
        <v>2524.4700000000003</v>
      </c>
      <c r="R333" s="246"/>
      <c r="S333" s="296">
        <f t="shared" si="92"/>
        <v>-119.46000000000004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15317.5</v>
      </c>
      <c r="G334" s="298"/>
      <c r="H334" s="41"/>
      <c r="I334" s="254"/>
      <c r="J334" s="253"/>
      <c r="K334" s="41"/>
      <c r="L334" s="272">
        <f>SUMIFS(BV_Data_An_Cour!$P:$P,BV_Data_An_Cour!$U:$U,$B334,BV_Data_An_Cour!$V:$V,$C334,BV_Data_An_Cour!$W:$W,$L$2)</f>
        <v>8506.99</v>
      </c>
      <c r="M334" s="253"/>
      <c r="N334" s="276">
        <f t="shared" si="91"/>
        <v>-6810.51</v>
      </c>
      <c r="O334" s="253"/>
      <c r="P334" s="41"/>
      <c r="Q334" s="272" cm="1">
        <f t="array" ref="Q334">+SUMPRODUCT(('Réel 2024'!$A$8:$A$501=$A334)*('Réel 2024'!$C$3:$AO$3=Q$2),'Réel 2024'!$C$8:$AO$501)</f>
        <v>13589.92</v>
      </c>
      <c r="R334" s="253"/>
      <c r="S334" s="276">
        <f t="shared" si="92"/>
        <v>-5082.93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2000</v>
      </c>
      <c r="G335" s="298"/>
      <c r="H335" s="41"/>
      <c r="I335" s="254"/>
      <c r="J335" s="253"/>
      <c r="K335" s="41"/>
      <c r="L335" s="256">
        <f>SUMIFS(BV_Data_An_Cour!$P:$P,BV_Data_An_Cour!$U:$U,$B335,BV_Data_An_Cour!$V:$V,$C335,BV_Data_An_Cour!$W:$W,$L$2)</f>
        <v>814.66</v>
      </c>
      <c r="M335" s="253"/>
      <c r="N335" s="276">
        <f t="shared" si="91"/>
        <v>-1185.3400000000001</v>
      </c>
      <c r="O335" s="253"/>
      <c r="P335" s="41"/>
      <c r="Q335" s="256" cm="1">
        <f t="array" ref="Q335">+SUMPRODUCT(('Réel 2024'!$A$8:$A$501=$A335)*('Réel 2024'!$C$3:$AO$3=Q$2),'Réel 2024'!$C$8:$AO$501)</f>
        <v>1771.85</v>
      </c>
      <c r="R335" s="253"/>
      <c r="S335" s="276">
        <f t="shared" si="92"/>
        <v>-957.18999999999994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32172.39716688422</v>
      </c>
      <c r="G336" s="300"/>
      <c r="H336" s="318"/>
      <c r="I336" s="248"/>
      <c r="J336" s="246"/>
      <c r="K336" s="318"/>
      <c r="L336" s="248">
        <f>SUMIFS(BV_Data_An_Cour!$P:$P,BV_Data_An_Cour!$U:$U,$B336,BV_Data_An_Cour!$V:$V,$C336,BV_Data_An_Cour!$W:$W,$L$2)</f>
        <v>24277.620000000003</v>
      </c>
      <c r="M336" s="246"/>
      <c r="N336" s="296">
        <f t="shared" si="91"/>
        <v>-7894.7771668842179</v>
      </c>
      <c r="O336" s="246"/>
      <c r="P336" s="318"/>
      <c r="Q336" s="248" cm="1">
        <f t="array" ref="Q336">+SUMPRODUCT(('Réel 2024'!$A$8:$A$501=$A336)*('Réel 2024'!$C$3:$AO$3=Q$2),'Réel 2024'!$C$8:$AO$501)</f>
        <v>27344.17</v>
      </c>
      <c r="R336" s="246"/>
      <c r="S336" s="296">
        <f t="shared" si="92"/>
        <v>-3066.5499999999956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100</v>
      </c>
      <c r="G338" s="298"/>
      <c r="H338" s="41"/>
      <c r="I338" s="254"/>
      <c r="J338" s="253"/>
      <c r="K338" s="41"/>
      <c r="L338" s="256">
        <f>SUMIFS(BV_Data_An_Cour!$P:$P,BV_Data_An_Cour!$U:$U,$B338,BV_Data_An_Cour!$V:$V,$C338,BV_Data_An_Cour!$W:$W,$L$2)</f>
        <v>121.2</v>
      </c>
      <c r="M338" s="253"/>
      <c r="N338" s="276">
        <f t="shared" si="91"/>
        <v>21.200000000000003</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361.45</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969</v>
      </c>
      <c r="G340" s="298"/>
      <c r="H340" s="41"/>
      <c r="I340" s="254"/>
      <c r="J340" s="253"/>
      <c r="K340" s="41"/>
      <c r="L340" s="256">
        <f>SUMIFS(BV_Data_An_Cour!$P:$P,BV_Data_An_Cour!$U:$U,$B340,BV_Data_An_Cour!$V:$V,$C340,BV_Data_An_Cour!$W:$W,$L$2)</f>
        <v>774</v>
      </c>
      <c r="M340" s="253"/>
      <c r="N340" s="276">
        <f t="shared" si="91"/>
        <v>-195</v>
      </c>
      <c r="O340" s="253"/>
      <c r="P340" s="41"/>
      <c r="Q340" s="256" cm="1">
        <f t="array" ref="Q340">+SUMPRODUCT(('Réel 2024'!$A$8:$A$501=$A340)*('Réel 2024'!$C$3:$AO$3=Q$2),'Réel 2024'!$C$8:$AO$501)</f>
        <v>940.35</v>
      </c>
      <c r="R340" s="253"/>
      <c r="S340" s="276">
        <f t="shared" si="92"/>
        <v>-166.35000000000002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227.5</v>
      </c>
      <c r="G341" s="298"/>
      <c r="H341" s="41"/>
      <c r="I341" s="254"/>
      <c r="J341" s="253"/>
      <c r="K341" s="41"/>
      <c r="L341" s="256">
        <f>SUMIFS(BV_Data_An_Cour!$P:$P,BV_Data_An_Cour!$U:$U,$B341,BV_Data_An_Cour!$V:$V,$C341,BV_Data_An_Cour!$W:$W,$L$2)</f>
        <v>380.64</v>
      </c>
      <c r="M341" s="253"/>
      <c r="N341" s="276">
        <f t="shared" si="91"/>
        <v>153.13999999999999</v>
      </c>
      <c r="O341" s="253"/>
      <c r="P341" s="41"/>
      <c r="Q341" s="256" cm="1">
        <f t="array" ref="Q341">+SUMPRODUCT(('Réel 2024'!$A$8:$A$501=$A341)*('Réel 2024'!$C$3:$AO$3=Q$2),'Réel 2024'!$C$8:$AO$501)</f>
        <v>251.25</v>
      </c>
      <c r="R341" s="253"/>
      <c r="S341" s="276">
        <f t="shared" si="92"/>
        <v>129.38999999999999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356.125</v>
      </c>
      <c r="G342" s="298"/>
      <c r="H342" s="41"/>
      <c r="I342" s="254"/>
      <c r="J342" s="253"/>
      <c r="K342" s="41"/>
      <c r="L342" s="256">
        <f>SUMIFS(BV_Data_An_Cour!$P:$P,BV_Data_An_Cour!$U:$U,$B342,BV_Data_An_Cour!$V:$V,$C342,BV_Data_An_Cour!$W:$W,$L$2)</f>
        <v>-537.38</v>
      </c>
      <c r="M342" s="253"/>
      <c r="N342" s="276">
        <f t="shared" si="91"/>
        <v>-893.505</v>
      </c>
      <c r="O342" s="253"/>
      <c r="P342" s="41"/>
      <c r="Q342" s="256" cm="1">
        <f t="array" ref="Q342">+SUMPRODUCT(('Réel 2024'!$A$8:$A$501=$A342)*('Réel 2024'!$C$3:$AO$3=Q$2),'Réel 2024'!$C$8:$AO$501)</f>
        <v>-437.32999999999993</v>
      </c>
      <c r="R342" s="253"/>
      <c r="S342" s="276">
        <f t="shared" si="92"/>
        <v>-100.05000000000007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187.5</v>
      </c>
      <c r="G343" s="298"/>
      <c r="H343" s="41"/>
      <c r="I343" s="254"/>
      <c r="J343" s="253"/>
      <c r="K343" s="41"/>
      <c r="L343" s="256">
        <f>SUMIFS(BV_Data_An_Cour!$P:$P,BV_Data_An_Cour!$U:$U,$B343,BV_Data_An_Cour!$V:$V,$C343,BV_Data_An_Cour!$W:$W,$L$2)</f>
        <v>430.16</v>
      </c>
      <c r="M343" s="253"/>
      <c r="N343" s="276">
        <f t="shared" si="91"/>
        <v>242.66000000000003</v>
      </c>
      <c r="O343" s="253"/>
      <c r="P343" s="41"/>
      <c r="Q343" s="256" cm="1">
        <f t="array" ref="Q343">+SUMPRODUCT(('Réel 2024'!$A$8:$A$501=$A343)*('Réel 2024'!$C$3:$AO$3=Q$2),'Réel 2024'!$C$8:$AO$501)</f>
        <v>125.49000000000001</v>
      </c>
      <c r="R343" s="253"/>
      <c r="S343" s="276">
        <f t="shared" si="92"/>
        <v>304.67</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666.66666666666663</v>
      </c>
      <c r="G344" s="298"/>
      <c r="H344" s="41"/>
      <c r="I344" s="254"/>
      <c r="J344" s="253"/>
      <c r="K344" s="41"/>
      <c r="L344" s="256">
        <f>SUMIFS(BV_Data_An_Cour!$P:$P,BV_Data_An_Cour!$U:$U,$B344,BV_Data_An_Cour!$V:$V,$C344,BV_Data_An_Cour!$W:$W,$L$2)</f>
        <v>610.78</v>
      </c>
      <c r="M344" s="253"/>
      <c r="N344" s="276">
        <f t="shared" si="91"/>
        <v>-55.886666666666656</v>
      </c>
      <c r="O344" s="253"/>
      <c r="P344" s="41"/>
      <c r="Q344" s="256" cm="1">
        <f t="array" ref="Q344">+SUMPRODUCT(('Réel 2024'!$A$8:$A$501=$A344)*('Réel 2024'!$C$3:$AO$3=Q$2),'Réel 2024'!$C$8:$AO$501)</f>
        <v>317.56</v>
      </c>
      <c r="R344" s="253"/>
      <c r="S344" s="276">
        <f t="shared" si="92"/>
        <v>293.21999999999997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2508.8683470057026</v>
      </c>
      <c r="G345" s="298"/>
      <c r="H345" s="41"/>
      <c r="I345" s="254"/>
      <c r="J345" s="253"/>
      <c r="K345" s="41"/>
      <c r="L345" s="256">
        <f>SUMIFS(BV_Data_An_Cour!$P:$P,BV_Data_An_Cour!$U:$U,$B345,BV_Data_An_Cour!$V:$V,$C345,BV_Data_An_Cour!$W:$W,L$2)</f>
        <v>4244.24</v>
      </c>
      <c r="M345" s="253"/>
      <c r="N345" s="276">
        <f t="shared" si="91"/>
        <v>1735.3716529942972</v>
      </c>
      <c r="O345" s="253"/>
      <c r="P345" s="41"/>
      <c r="Q345" s="256" cm="1">
        <f t="array" ref="Q345">+SUMPRODUCT(('Réel 2024'!$A$8:$A$501=$A345)*('Réel 2024'!$C$3:$AO$3=Q$2),'Réel 2024'!$C$8:$AO$501)</f>
        <v>2217.5500000000002</v>
      </c>
      <c r="R345" s="253"/>
      <c r="S345" s="276">
        <f t="shared" si="92"/>
        <v>2026.6899999999996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0.29498011257946949</v>
      </c>
      <c r="F349" s="307">
        <f>+SUM(F331:F348)</f>
        <v>68890.999714737234</v>
      </c>
      <c r="G349" s="308"/>
      <c r="H349" s="306"/>
      <c r="I349" s="307"/>
      <c r="J349" s="308" t="s">
        <v>119</v>
      </c>
      <c r="K349" s="306">
        <f>L349/L$314</f>
        <v>0.1677030448616067</v>
      </c>
      <c r="L349" s="307">
        <f>+SUM(L331:L348)</f>
        <v>50384.25</v>
      </c>
      <c r="M349" s="311"/>
      <c r="N349" s="307">
        <f>+SUM(N331:N348)</f>
        <v>-18506.74971473722</v>
      </c>
      <c r="O349" s="308" t="s">
        <v>119</v>
      </c>
      <c r="P349" s="306">
        <f>Q349/Q$314</f>
        <v>0.30132339990168355</v>
      </c>
      <c r="Q349" s="307">
        <f>+SUM(Q331:Q348)</f>
        <v>65115.139999999992</v>
      </c>
      <c r="R349" s="311"/>
      <c r="S349" s="307">
        <f>+SUM(S331:S348)</f>
        <v>-14730.89</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0.70856247849289389</v>
      </c>
      <c r="F351" s="307">
        <f>F330+F349</f>
        <v>165480.91014297371</v>
      </c>
      <c r="G351" s="308"/>
      <c r="H351" s="306"/>
      <c r="I351" s="307"/>
      <c r="J351" s="308" t="s">
        <v>119</v>
      </c>
      <c r="K351" s="306">
        <f>L351/L$314</f>
        <v>0.5187128562265737</v>
      </c>
      <c r="L351" s="307">
        <f>L330+L349</f>
        <v>155840.69</v>
      </c>
      <c r="M351" s="311"/>
      <c r="N351" s="320">
        <f>L351-F351</f>
        <v>-9640.2201429737033</v>
      </c>
      <c r="O351" s="308" t="s">
        <v>119</v>
      </c>
      <c r="P351" s="306">
        <f>Q351/Q$314</f>
        <v>0.78462366863724731</v>
      </c>
      <c r="Q351" s="307">
        <f>Q330+Q349</f>
        <v>169554.97</v>
      </c>
      <c r="R351" s="311"/>
      <c r="S351" s="320">
        <f>L351-Q351</f>
        <v>-13714.279999999999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68063.646852127335</v>
      </c>
      <c r="G353" s="361"/>
      <c r="H353" s="333"/>
      <c r="I353" s="335"/>
      <c r="J353" s="332"/>
      <c r="K353" s="334"/>
      <c r="L353" s="335">
        <f>L314-L351</f>
        <v>144596.61000000004</v>
      </c>
      <c r="M353" s="332"/>
      <c r="N353" s="335">
        <f>L353-F353</f>
        <v>76532.96314787271</v>
      </c>
      <c r="O353" s="332"/>
      <c r="P353" s="334"/>
      <c r="Q353" s="335">
        <f>Q314-Q351</f>
        <v>46542.219999999652</v>
      </c>
      <c r="R353" s="332"/>
      <c r="S353" s="335">
        <f>L353-Q353</f>
        <v>98054.390000000392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97" t="s">
        <v>343</v>
      </c>
      <c r="E358" s="1298"/>
      <c r="F358" s="1299"/>
      <c r="G358" s="1302"/>
      <c r="H358" s="1298"/>
      <c r="I358" s="1299"/>
      <c r="J358" s="1302" t="s">
        <v>344</v>
      </c>
      <c r="K358" s="1298"/>
      <c r="L358" s="1299"/>
      <c r="M358" s="1302"/>
      <c r="N358" s="1299"/>
      <c r="O358" s="1302" t="s">
        <v>345</v>
      </c>
      <c r="P358" s="1298"/>
      <c r="Q358" s="1299"/>
      <c r="R358" s="1302" t="s">
        <v>346</v>
      </c>
      <c r="S358" s="129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Février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06" t="s">
        <v>600</v>
      </c>
      <c r="Y404" s="1304"/>
      <c r="Z404" s="1307"/>
      <c r="AA404" s="1303"/>
      <c r="AB404" s="1304"/>
      <c r="AC404" s="1307"/>
      <c r="AD404" s="1303" t="s">
        <v>344</v>
      </c>
      <c r="AE404" s="1304"/>
      <c r="AF404" s="1307"/>
      <c r="AG404" s="1303" t="s">
        <v>3310</v>
      </c>
      <c r="AH404" s="1304"/>
      <c r="AI404" s="1307"/>
      <c r="AJ404" s="1303" t="s">
        <v>601</v>
      </c>
      <c r="AK404" s="1304"/>
      <c r="AL404" s="1304"/>
      <c r="AM404" s="1303" t="s">
        <v>602</v>
      </c>
      <c r="AN404" s="1304"/>
      <c r="AO404" s="130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8590695.8120774422</v>
      </c>
      <c r="AA406" s="440"/>
      <c r="AB406" s="440"/>
      <c r="AC406" s="441"/>
      <c r="AD406" s="442"/>
      <c r="AE406" s="443"/>
      <c r="AF406" s="443">
        <f>L5+L93+K194+K250+J314+J362</f>
        <v>8792255.3399999999</v>
      </c>
      <c r="AG406" s="442"/>
      <c r="AH406" s="443"/>
      <c r="AI406" s="444"/>
      <c r="AJ406" s="442"/>
      <c r="AK406" s="443"/>
      <c r="AL406" s="443">
        <f>Q5+Q93+P194+P250+O314+O362</f>
        <v>8033891.9699999895</v>
      </c>
      <c r="AM406" s="445"/>
      <c r="AN406" s="443"/>
      <c r="AO406" s="446"/>
      <c r="AP406" s="38"/>
      <c r="AQ406" s="445">
        <v>54204064.640000001</v>
      </c>
      <c r="AR406" s="620">
        <f t="shared" ref="AR406:AR407" si="99">AF406-AQ406</f>
        <v>-45411809.299999997</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1234006.6936626076</v>
      </c>
      <c r="AA407" s="448"/>
      <c r="AB407" s="448"/>
      <c r="AC407" s="449"/>
      <c r="AD407" s="475">
        <f>AF407/AF$406</f>
        <v>0.12859632327284076</v>
      </c>
      <c r="AE407" s="451"/>
      <c r="AF407" s="451">
        <f>L27+L108+L194+L250+L314+L362</f>
        <v>1130651.7100000004</v>
      </c>
      <c r="AG407" s="450"/>
      <c r="AH407" s="451">
        <f>AF407-Z407</f>
        <v>-103354.98366260715</v>
      </c>
      <c r="AI407" s="452">
        <f>AH407/Z407</f>
        <v>-8.3755610235665107E-2</v>
      </c>
      <c r="AJ407" s="475">
        <f>+AL407/AL406</f>
        <v>0.13174192955945357</v>
      </c>
      <c r="AK407" s="451"/>
      <c r="AL407" s="451">
        <f>Q27+Q108+Q194+Q250+Q314+Q362</f>
        <v>1058400.4299999983</v>
      </c>
      <c r="AM407" s="453"/>
      <c r="AN407" s="451">
        <f>AF407-AL407</f>
        <v>72251.280000002123</v>
      </c>
      <c r="AO407" s="454">
        <f>IF(AL407=0,0,AN407/AL407)</f>
        <v>6.8264598116236822E-2</v>
      </c>
      <c r="AP407" s="94"/>
      <c r="AQ407" s="453">
        <v>7795760.1900000032</v>
      </c>
      <c r="AR407" s="621">
        <f t="shared" si="99"/>
        <v>-6665108.4800000023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667.35120279803948</v>
      </c>
      <c r="Z409" s="457">
        <f t="shared" ref="Z409:Z418" si="101">+SUMIF($C:$C,$V409,F:F)</f>
        <v>105441.49004209024</v>
      </c>
      <c r="AA409" s="456"/>
      <c r="AB409" s="464"/>
      <c r="AC409" s="457"/>
      <c r="AD409" s="465"/>
      <c r="AE409" s="464">
        <f t="shared" ref="AE409:AE414" si="102">IF(AF409=0,0,AF409/(J$13+J$97))</f>
        <v>690.77507462686572</v>
      </c>
      <c r="AF409" s="457">
        <f t="shared" ref="AF409:AF418" si="103">+SUMIF($C:$C,$V409,L:L)</f>
        <v>92563.86</v>
      </c>
      <c r="AG409" s="458">
        <f t="shared" ref="AG409:AG418" si="104">AE409-Y409</f>
        <v>23.423871828826236</v>
      </c>
      <c r="AH409" s="459">
        <f t="shared" ref="AH409:AH418" si="105">AF409-Z409</f>
        <v>-12877.630042090241</v>
      </c>
      <c r="AI409" s="460">
        <f t="shared" ref="AI409:AI418" si="106">IF(Z409=0,0,AH409/Z409)</f>
        <v>-0.12213057722296732</v>
      </c>
      <c r="AJ409" s="465"/>
      <c r="AK409" s="459">
        <f t="shared" ref="AK409:AK418" si="107">AL409/(O$13+O$97)</f>
        <v>790.56899159663874</v>
      </c>
      <c r="AL409" s="457">
        <f t="shared" ref="AL409:AL415" si="108">+SUMIF($C:$C,$V409,Q:Q)</f>
        <v>94077.71</v>
      </c>
      <c r="AM409" s="461">
        <f t="shared" ref="AM409:AM418" si="109">AE409-Y409</f>
        <v>23.423871828826236</v>
      </c>
      <c r="AN409" s="459">
        <f t="shared" ref="AN409:AN431" si="110">AF409-AL409</f>
        <v>-1513.8500000000058</v>
      </c>
      <c r="AO409" s="466">
        <f t="shared" ref="AO409:AO431" si="111">IF(AL409=0,0,AN409/AL409)</f>
        <v>-1.6091484369677E-2</v>
      </c>
      <c r="AP409" s="94"/>
      <c r="AQ409" s="622">
        <v>778277.40999999992</v>
      </c>
      <c r="AR409" s="512">
        <f t="shared" ref="AR409:AR466" si="112">AF409-AQ409</f>
        <v>-685713.54999999993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365.13466793063071</v>
      </c>
      <c r="Z410" s="441">
        <f t="shared" si="101"/>
        <v>57691.277533039654</v>
      </c>
      <c r="AA410" s="440"/>
      <c r="AB410" s="468"/>
      <c r="AC410" s="441"/>
      <c r="AD410" s="469"/>
      <c r="AE410" s="468">
        <f t="shared" si="102"/>
        <v>324.03791044776119</v>
      </c>
      <c r="AF410" s="441">
        <f t="shared" si="103"/>
        <v>43421.08</v>
      </c>
      <c r="AG410" s="442">
        <f t="shared" si="104"/>
        <v>-41.096757482869521</v>
      </c>
      <c r="AH410" s="443">
        <f t="shared" si="105"/>
        <v>-14270.197533039653</v>
      </c>
      <c r="AI410" s="470">
        <f t="shared" si="106"/>
        <v>-0.2473545073580169</v>
      </c>
      <c r="AJ410" s="469"/>
      <c r="AK410" s="443">
        <f t="shared" si="107"/>
        <v>384.62294117647059</v>
      </c>
      <c r="AL410" s="441">
        <f t="shared" si="108"/>
        <v>45770.13</v>
      </c>
      <c r="AM410" s="445">
        <f t="shared" si="109"/>
        <v>-41.096757482869521</v>
      </c>
      <c r="AN410" s="443">
        <f t="shared" si="110"/>
        <v>-2349.0499999999956</v>
      </c>
      <c r="AO410" s="446">
        <f t="shared" si="111"/>
        <v>-5.1322773171061473E-2</v>
      </c>
      <c r="AP410" s="94"/>
      <c r="AQ410" s="623">
        <v>469053.9</v>
      </c>
      <c r="AR410" s="620">
        <f t="shared" si="112"/>
        <v>-425632.82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75.348101265822791</v>
      </c>
      <c r="Z411" s="457">
        <f t="shared" si="101"/>
        <v>11905</v>
      </c>
      <c r="AA411" s="456"/>
      <c r="AB411" s="464"/>
      <c r="AC411" s="457"/>
      <c r="AD411" s="465"/>
      <c r="AE411" s="464">
        <f t="shared" si="102"/>
        <v>34.520970149253735</v>
      </c>
      <c r="AF411" s="457">
        <f t="shared" si="103"/>
        <v>4625.8100000000004</v>
      </c>
      <c r="AG411" s="458">
        <f t="shared" si="104"/>
        <v>-40.827131116569056</v>
      </c>
      <c r="AH411" s="459">
        <f t="shared" si="105"/>
        <v>-7279.19</v>
      </c>
      <c r="AI411" s="460">
        <f t="shared" si="106"/>
        <v>-0.61143973120537587</v>
      </c>
      <c r="AJ411" s="465"/>
      <c r="AK411" s="459">
        <f t="shared" si="107"/>
        <v>54.645546218487404</v>
      </c>
      <c r="AL411" s="457">
        <f t="shared" si="108"/>
        <v>6502.8200000000006</v>
      </c>
      <c r="AM411" s="461">
        <f t="shared" si="109"/>
        <v>-40.827131116569056</v>
      </c>
      <c r="AN411" s="459">
        <f t="shared" si="110"/>
        <v>-1877.0100000000002</v>
      </c>
      <c r="AO411" s="466">
        <f t="shared" si="111"/>
        <v>-0.28864554147277643</v>
      </c>
      <c r="AP411" s="94"/>
      <c r="AQ411" s="622">
        <v>56454.65</v>
      </c>
      <c r="AR411" s="512">
        <f t="shared" si="112"/>
        <v>-51828.840000000004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26.835443037974684</v>
      </c>
      <c r="Z412" s="457">
        <f t="shared" si="101"/>
        <v>4240</v>
      </c>
      <c r="AA412" s="456"/>
      <c r="AB412" s="464"/>
      <c r="AC412" s="457"/>
      <c r="AD412" s="465"/>
      <c r="AE412" s="464">
        <f t="shared" si="102"/>
        <v>27.146865671641791</v>
      </c>
      <c r="AF412" s="457">
        <f t="shared" si="103"/>
        <v>3637.68</v>
      </c>
      <c r="AG412" s="458">
        <f t="shared" si="104"/>
        <v>0.31142263366710665</v>
      </c>
      <c r="AH412" s="459">
        <f t="shared" si="105"/>
        <v>-602.32000000000016</v>
      </c>
      <c r="AI412" s="460">
        <f t="shared" si="106"/>
        <v>-0.14205660377358495</v>
      </c>
      <c r="AJ412" s="465"/>
      <c r="AK412" s="459">
        <f t="shared" si="107"/>
        <v>20.576386554621848</v>
      </c>
      <c r="AL412" s="457">
        <f t="shared" si="108"/>
        <v>2448.59</v>
      </c>
      <c r="AM412" s="461">
        <f t="shared" si="109"/>
        <v>0.31142263366710665</v>
      </c>
      <c r="AN412" s="459">
        <f t="shared" si="110"/>
        <v>1189.0899999999997</v>
      </c>
      <c r="AO412" s="466">
        <f t="shared" si="111"/>
        <v>0.48562233775356412</v>
      </c>
      <c r="AP412" s="94"/>
      <c r="AQ412" s="622">
        <v>3117.25</v>
      </c>
      <c r="AR412" s="512">
        <f t="shared" si="112"/>
        <v>520.42999999999984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145.12658227848101</v>
      </c>
      <c r="Z413" s="441">
        <f t="shared" si="101"/>
        <v>22930</v>
      </c>
      <c r="AA413" s="440"/>
      <c r="AB413" s="468"/>
      <c r="AC413" s="441"/>
      <c r="AD413" s="469"/>
      <c r="AE413" s="468">
        <f t="shared" si="102"/>
        <v>191.30447761194029</v>
      </c>
      <c r="AF413" s="441">
        <f t="shared" si="103"/>
        <v>25634.799999999999</v>
      </c>
      <c r="AG413" s="442">
        <f t="shared" si="104"/>
        <v>46.177895333459276</v>
      </c>
      <c r="AH413" s="443">
        <f t="shared" si="105"/>
        <v>2704.7999999999993</v>
      </c>
      <c r="AI413" s="470">
        <f t="shared" si="106"/>
        <v>0.11795900566942867</v>
      </c>
      <c r="AJ413" s="469"/>
      <c r="AK413" s="443">
        <f t="shared" si="107"/>
        <v>164.05781512605043</v>
      </c>
      <c r="AL413" s="441">
        <f t="shared" si="108"/>
        <v>19522.88</v>
      </c>
      <c r="AM413" s="445">
        <f t="shared" si="109"/>
        <v>46.177895333459276</v>
      </c>
      <c r="AN413" s="443">
        <f t="shared" si="110"/>
        <v>6111.9199999999983</v>
      </c>
      <c r="AO413" s="446">
        <f t="shared" si="111"/>
        <v>0.31306446589847386</v>
      </c>
      <c r="AP413" s="94"/>
      <c r="AQ413" s="623">
        <v>111419.39000000001</v>
      </c>
      <c r="AR413" s="620">
        <f t="shared" si="112"/>
        <v>-85784.590000000011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219.85759493670886</v>
      </c>
      <c r="Z414" s="457">
        <f t="shared" si="101"/>
        <v>34737.5</v>
      </c>
      <c r="AA414" s="460"/>
      <c r="AB414" s="464"/>
      <c r="AC414" s="457"/>
      <c r="AD414" s="465"/>
      <c r="AE414" s="464">
        <f t="shared" si="102"/>
        <v>165.615223880597</v>
      </c>
      <c r="AF414" s="457">
        <f t="shared" si="103"/>
        <v>22192.44</v>
      </c>
      <c r="AG414" s="458">
        <f t="shared" si="104"/>
        <v>-54.242371056111864</v>
      </c>
      <c r="AH414" s="459">
        <f t="shared" si="105"/>
        <v>-12545.060000000001</v>
      </c>
      <c r="AI414" s="460">
        <f t="shared" si="106"/>
        <v>-0.36113882691615695</v>
      </c>
      <c r="AJ414" s="465"/>
      <c r="AK414" s="459">
        <f t="shared" si="107"/>
        <v>237.10571428571427</v>
      </c>
      <c r="AL414" s="457">
        <f t="shared" si="108"/>
        <v>28215.579999999998</v>
      </c>
      <c r="AM414" s="461">
        <f t="shared" si="109"/>
        <v>-54.242371056111864</v>
      </c>
      <c r="AN414" s="459">
        <f t="shared" si="110"/>
        <v>-6023.1399999999994</v>
      </c>
      <c r="AO414" s="466">
        <f t="shared" si="111"/>
        <v>-0.21346858721316378</v>
      </c>
      <c r="AP414" s="94"/>
      <c r="AQ414" s="622">
        <v>186022.03999999998</v>
      </c>
      <c r="AR414" s="512">
        <f t="shared" si="112"/>
        <v>-163829.59999999998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257.83106304881028</v>
      </c>
      <c r="Z415" s="457">
        <f t="shared" si="101"/>
        <v>40737.307961712024</v>
      </c>
      <c r="AA415" s="456"/>
      <c r="AB415" s="464"/>
      <c r="AC415" s="457"/>
      <c r="AD415" s="465"/>
      <c r="AE415" s="464">
        <f t="shared" ref="AE415:AE418" si="113">IF(AF415=0,0,AF415/(J$13+J$13))</f>
        <v>305.72580246913583</v>
      </c>
      <c r="AF415" s="457">
        <f t="shared" si="103"/>
        <v>49527.58</v>
      </c>
      <c r="AG415" s="458">
        <f t="shared" si="104"/>
        <v>47.89473942032555</v>
      </c>
      <c r="AH415" s="459">
        <f t="shared" si="105"/>
        <v>8790.2720382879779</v>
      </c>
      <c r="AI415" s="460">
        <f t="shared" si="106"/>
        <v>0.21577940414103294</v>
      </c>
      <c r="AJ415" s="465"/>
      <c r="AK415" s="459">
        <f t="shared" si="107"/>
        <v>170.87092436974788</v>
      </c>
      <c r="AL415" s="457">
        <f t="shared" si="108"/>
        <v>20333.64</v>
      </c>
      <c r="AM415" s="461">
        <f t="shared" si="109"/>
        <v>47.89473942032555</v>
      </c>
      <c r="AN415" s="459">
        <f t="shared" si="110"/>
        <v>29193.940000000002</v>
      </c>
      <c r="AO415" s="466">
        <f t="shared" si="111"/>
        <v>1.435745887111211</v>
      </c>
      <c r="AP415" s="94"/>
      <c r="AQ415" s="622">
        <v>67811.08</v>
      </c>
      <c r="AR415" s="512">
        <f t="shared" si="112"/>
        <v>-18283.5</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0.22502517771006819</v>
      </c>
      <c r="Y419" s="472"/>
      <c r="Z419" s="474">
        <f>SUM(Z409:Z418)</f>
        <v>277682.57553684193</v>
      </c>
      <c r="AA419" s="473"/>
      <c r="AB419" s="472"/>
      <c r="AC419" s="474"/>
      <c r="AD419" s="475">
        <f>AF419/AF$407</f>
        <v>0.21368494635717653</v>
      </c>
      <c r="AE419" s="472"/>
      <c r="AF419" s="474">
        <f>SUM(AF409:AF418)</f>
        <v>241603.25</v>
      </c>
      <c r="AG419" s="476"/>
      <c r="AH419" s="477">
        <f t="shared" ref="AH419:AH451" si="114">AF419-Z419</f>
        <v>-36079.325536841934</v>
      </c>
      <c r="AI419" s="473">
        <f>AH419/Z419</f>
        <v>-0.1299301026255969</v>
      </c>
      <c r="AJ419" s="475">
        <f>IF($AL$407=0,0,AL419/$AL$407)</f>
        <v>0.20490482038069496</v>
      </c>
      <c r="AK419" s="472"/>
      <c r="AL419" s="474">
        <f>SUM(AL409:AL418)</f>
        <v>216871.34999999998</v>
      </c>
      <c r="AM419" s="478"/>
      <c r="AN419" s="477">
        <f t="shared" si="110"/>
        <v>24731.900000000023</v>
      </c>
      <c r="AO419" s="454">
        <f t="shared" si="111"/>
        <v>0.11403949853219443</v>
      </c>
      <c r="AP419" s="94"/>
      <c r="AQ419" s="624">
        <v>1672155.7200000002</v>
      </c>
      <c r="AR419" s="625">
        <f t="shared" si="112"/>
        <v>-1430552.4700000002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26106.506153846149</v>
      </c>
      <c r="AA420" s="456"/>
      <c r="AB420" s="456"/>
      <c r="AC420" s="457"/>
      <c r="AD420" s="465"/>
      <c r="AE420" s="464"/>
      <c r="AF420" s="457">
        <f>SUMIFS(BV_Data_An_Cour!$P:$P,BV_Data_An_Cour!$V:$V,$V420)</f>
        <v>26123.4</v>
      </c>
      <c r="AG420" s="458"/>
      <c r="AH420" s="459">
        <f t="shared" si="114"/>
        <v>16.893846153852792</v>
      </c>
      <c r="AI420" s="460">
        <f t="shared" ref="AI420:AI432" si="115">IF(Z420=0,0,AH420/Z420)</f>
        <v>6.4711248813981571E-4</v>
      </c>
      <c r="AJ420" s="465"/>
      <c r="AK420" s="456"/>
      <c r="AL420" s="457" cm="1">
        <f t="array" ref="AL420">+SUMPRODUCT(('Réel 2024'!$A$8:$A$501=$A420)*('Réel 2024'!$C$3:$AO$3=Z$2),'Réel 2024'!$C$8:$AO$501)</f>
        <v>32221.48</v>
      </c>
      <c r="AM420" s="461"/>
      <c r="AN420" s="459">
        <f t="shared" si="110"/>
        <v>-6098.0799999999981</v>
      </c>
      <c r="AO420" s="466">
        <f t="shared" si="111"/>
        <v>-0.18925511801444247</v>
      </c>
      <c r="AP420" s="94"/>
      <c r="AQ420" s="622">
        <v>196581.69999999998</v>
      </c>
      <c r="AR420" s="512">
        <f t="shared" si="112"/>
        <v>-170458.3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100582.80128205128</v>
      </c>
      <c r="AA421" s="456"/>
      <c r="AB421" s="456"/>
      <c r="AC421" s="457"/>
      <c r="AD421" s="465"/>
      <c r="AE421" s="464"/>
      <c r="AF421" s="457">
        <f t="shared" ref="AF421:AF432" si="117">+SUMIF($C:$C,$V421,L:L)</f>
        <v>91081.150000000009</v>
      </c>
      <c r="AG421" s="458"/>
      <c r="AH421" s="459">
        <f t="shared" si="114"/>
        <v>-9501.6512820512726</v>
      </c>
      <c r="AI421" s="460">
        <f t="shared" si="115"/>
        <v>-9.4465963971385389E-2</v>
      </c>
      <c r="AJ421" s="465"/>
      <c r="AK421" s="456"/>
      <c r="AL421" s="457">
        <f t="shared" ref="AL421:AL431" si="118">+SUMIF($C:$C,$V421,Q:Q)</f>
        <v>112545.98000000001</v>
      </c>
      <c r="AM421" s="461"/>
      <c r="AN421" s="459">
        <f t="shared" si="110"/>
        <v>-21464.83</v>
      </c>
      <c r="AO421" s="466">
        <f t="shared" si="111"/>
        <v>-0.19072053928536586</v>
      </c>
      <c r="AP421" s="94"/>
      <c r="AQ421" s="622">
        <v>480874.87</v>
      </c>
      <c r="AR421" s="512">
        <f t="shared" si="112"/>
        <v>-389793.72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139231.45064906665</v>
      </c>
      <c r="AA422" s="440"/>
      <c r="AB422" s="440"/>
      <c r="AC422" s="441"/>
      <c r="AD422" s="469"/>
      <c r="AE422" s="468"/>
      <c r="AF422" s="441">
        <f t="shared" si="117"/>
        <v>143947.34999999998</v>
      </c>
      <c r="AG422" s="442"/>
      <c r="AH422" s="443">
        <f t="shared" si="114"/>
        <v>4715.8993509333231</v>
      </c>
      <c r="AI422" s="470">
        <f t="shared" si="115"/>
        <v>3.3870934540643147E-2</v>
      </c>
      <c r="AJ422" s="469"/>
      <c r="AK422" s="440"/>
      <c r="AL422" s="441">
        <f t="shared" si="118"/>
        <v>114510.91</v>
      </c>
      <c r="AM422" s="445"/>
      <c r="AN422" s="443">
        <f t="shared" si="110"/>
        <v>29436.439999999973</v>
      </c>
      <c r="AO422" s="446">
        <f t="shared" si="111"/>
        <v>0.25706231834154469</v>
      </c>
      <c r="AP422" s="94"/>
      <c r="AQ422" s="623">
        <v>263830.23</v>
      </c>
      <c r="AR422" s="620">
        <f t="shared" si="112"/>
        <v>-119882.88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44090.237529333324</v>
      </c>
      <c r="AA423" s="456"/>
      <c r="AB423" s="456"/>
      <c r="AC423" s="457"/>
      <c r="AD423" s="465"/>
      <c r="AE423" s="464"/>
      <c r="AF423" s="457">
        <f t="shared" si="117"/>
        <v>62147.790000000008</v>
      </c>
      <c r="AG423" s="458"/>
      <c r="AH423" s="459">
        <f t="shared" si="114"/>
        <v>18057.552470666684</v>
      </c>
      <c r="AI423" s="460">
        <f t="shared" si="115"/>
        <v>0.40955897456104556</v>
      </c>
      <c r="AJ423" s="465"/>
      <c r="AK423" s="456"/>
      <c r="AL423" s="457">
        <f t="shared" si="118"/>
        <v>46243.32</v>
      </c>
      <c r="AM423" s="461"/>
      <c r="AN423" s="459">
        <f t="shared" si="110"/>
        <v>15904.470000000008</v>
      </c>
      <c r="AO423" s="466">
        <f t="shared" si="111"/>
        <v>0.34393010709438698</v>
      </c>
      <c r="AP423" s="94"/>
      <c r="AQ423" s="622">
        <v>653651.56000000006</v>
      </c>
      <c r="AR423" s="512">
        <f t="shared" si="112"/>
        <v>-591503.77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52797.11302729162</v>
      </c>
      <c r="AA424" s="456"/>
      <c r="AB424" s="456"/>
      <c r="AC424" s="457"/>
      <c r="AD424" s="465"/>
      <c r="AE424" s="464"/>
      <c r="AF424" s="457">
        <f t="shared" si="117"/>
        <v>34909.11</v>
      </c>
      <c r="AG424" s="458"/>
      <c r="AH424" s="459">
        <f t="shared" si="114"/>
        <v>-17888.003027291619</v>
      </c>
      <c r="AI424" s="460">
        <f t="shared" si="115"/>
        <v>-0.33880646121777608</v>
      </c>
      <c r="AJ424" s="465"/>
      <c r="AK424" s="456"/>
      <c r="AL424" s="457">
        <f t="shared" si="118"/>
        <v>30555.47</v>
      </c>
      <c r="AM424" s="461"/>
      <c r="AN424" s="459">
        <f t="shared" si="110"/>
        <v>4353.6399999999994</v>
      </c>
      <c r="AO424" s="466">
        <f t="shared" si="111"/>
        <v>0.14248316258921886</v>
      </c>
      <c r="AP424" s="94"/>
      <c r="AQ424" s="622">
        <v>399727.32999999996</v>
      </c>
      <c r="AR424" s="512">
        <f t="shared" si="112"/>
        <v>-364818.22</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76937.640824566522</v>
      </c>
      <c r="AA428" s="440"/>
      <c r="AB428" s="440"/>
      <c r="AC428" s="441"/>
      <c r="AD428" s="469"/>
      <c r="AE428" s="468"/>
      <c r="AF428" s="441">
        <f t="shared" si="117"/>
        <v>102842.49</v>
      </c>
      <c r="AG428" s="442"/>
      <c r="AH428" s="443">
        <f t="shared" si="114"/>
        <v>25904.849175433483</v>
      </c>
      <c r="AI428" s="470">
        <f t="shared" si="115"/>
        <v>0.33669929176151647</v>
      </c>
      <c r="AJ428" s="469"/>
      <c r="AK428" s="440"/>
      <c r="AL428" s="441">
        <f t="shared" si="118"/>
        <v>72607.53</v>
      </c>
      <c r="AM428" s="445"/>
      <c r="AN428" s="443">
        <f t="shared" si="110"/>
        <v>30234.960000000006</v>
      </c>
      <c r="AO428" s="446">
        <f t="shared" si="111"/>
        <v>0.41641631384513433</v>
      </c>
      <c r="AP428" s="94"/>
      <c r="AQ428" s="623">
        <v>484984.30000000005</v>
      </c>
      <c r="AR428" s="620">
        <f t="shared" si="112"/>
        <v>-382141.81000000006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93545.325407843018</v>
      </c>
      <c r="AA429" s="456"/>
      <c r="AB429" s="456"/>
      <c r="AC429" s="457"/>
      <c r="AD429" s="465"/>
      <c r="AE429" s="464"/>
      <c r="AF429" s="457">
        <f t="shared" si="117"/>
        <v>104140.59</v>
      </c>
      <c r="AG429" s="458"/>
      <c r="AH429" s="459">
        <f t="shared" si="114"/>
        <v>10595.264592156978</v>
      </c>
      <c r="AI429" s="460">
        <f t="shared" si="115"/>
        <v>0.11326343188142517</v>
      </c>
      <c r="AJ429" s="465"/>
      <c r="AK429" s="456"/>
      <c r="AL429" s="457">
        <f t="shared" si="118"/>
        <v>98568.44</v>
      </c>
      <c r="AM429" s="461"/>
      <c r="AN429" s="459">
        <f t="shared" si="110"/>
        <v>5572.1499999999942</v>
      </c>
      <c r="AO429" s="466">
        <f t="shared" si="111"/>
        <v>5.6530771918476073E-2</v>
      </c>
      <c r="AP429" s="94"/>
      <c r="AQ429" s="622">
        <v>452089.25</v>
      </c>
      <c r="AR429" s="512">
        <f t="shared" si="112"/>
        <v>-347948.66000000003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48196.178525345204</v>
      </c>
      <c r="AA430" s="456"/>
      <c r="AB430" s="456"/>
      <c r="AC430" s="457"/>
      <c r="AD430" s="465"/>
      <c r="AE430" s="464"/>
      <c r="AF430" s="457">
        <f t="shared" si="117"/>
        <v>48406.89</v>
      </c>
      <c r="AG430" s="458"/>
      <c r="AH430" s="459">
        <f t="shared" si="114"/>
        <v>210.71147465479589</v>
      </c>
      <c r="AI430" s="460">
        <f t="shared" si="115"/>
        <v>4.371953982699849E-3</v>
      </c>
      <c r="AJ430" s="465"/>
      <c r="AK430" s="456"/>
      <c r="AL430" s="457">
        <f t="shared" si="118"/>
        <v>43079.17</v>
      </c>
      <c r="AM430" s="461"/>
      <c r="AN430" s="459">
        <f t="shared" si="110"/>
        <v>5327.7200000000012</v>
      </c>
      <c r="AO430" s="466">
        <f t="shared" si="111"/>
        <v>0.12367276342603632</v>
      </c>
      <c r="AP430" s="94"/>
      <c r="AQ430" s="622">
        <v>250596.99999999997</v>
      </c>
      <c r="AR430" s="512">
        <f t="shared" si="112"/>
        <v>-202190.11</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21013.804982921254</v>
      </c>
      <c r="AA431" s="456"/>
      <c r="AB431" s="456"/>
      <c r="AC431" s="457"/>
      <c r="AD431" s="465"/>
      <c r="AE431" s="464"/>
      <c r="AF431" s="457">
        <f t="shared" si="117"/>
        <v>18295.79</v>
      </c>
      <c r="AG431" s="458"/>
      <c r="AH431" s="459">
        <f t="shared" si="114"/>
        <v>-2718.0149829212532</v>
      </c>
      <c r="AI431" s="479">
        <f t="shared" si="115"/>
        <v>-0.12934425655564477</v>
      </c>
      <c r="AJ431" s="465"/>
      <c r="AK431" s="456"/>
      <c r="AL431" s="457">
        <f t="shared" si="118"/>
        <v>20139.57</v>
      </c>
      <c r="AM431" s="461"/>
      <c r="AN431" s="459">
        <f t="shared" si="110"/>
        <v>-1843.7799999999988</v>
      </c>
      <c r="AO431" s="466">
        <f t="shared" si="111"/>
        <v>-9.1550117504991355E-2</v>
      </c>
      <c r="AP431" s="94"/>
      <c r="AQ431" s="622">
        <v>185602.45</v>
      </c>
      <c r="AR431" s="512">
        <f t="shared" si="112"/>
        <v>-167306.66</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0.48824780406498836</v>
      </c>
      <c r="Y433" s="472"/>
      <c r="Z433" s="474">
        <f>SUM(Z420:Z432)</f>
        <v>602501.05838226492</v>
      </c>
      <c r="AA433" s="473"/>
      <c r="AB433" s="472"/>
      <c r="AC433" s="474"/>
      <c r="AD433" s="475">
        <f>AF433/AF407</f>
        <v>0.55887640235382463</v>
      </c>
      <c r="AE433" s="480"/>
      <c r="AF433" s="474">
        <f>SUM(AF420:AF432)</f>
        <v>631894.56000000006</v>
      </c>
      <c r="AG433" s="481"/>
      <c r="AH433" s="477">
        <f t="shared" si="114"/>
        <v>29393.501617735135</v>
      </c>
      <c r="AI433" s="473">
        <f>AH433/Z433</f>
        <v>4.8785809101576767E-2</v>
      </c>
      <c r="AJ433" s="475">
        <f>IF($AL$407=0,0,AL433/$AL$407)</f>
        <v>0.53899436718860827</v>
      </c>
      <c r="AK433" s="472"/>
      <c r="AL433" s="474">
        <f>SUM(AL420:AL432)</f>
        <v>570471.87</v>
      </c>
      <c r="AM433" s="482"/>
      <c r="AN433" s="477">
        <f t="shared" ref="AN433:AN451" si="119">AF433-AL433</f>
        <v>61422.690000000061</v>
      </c>
      <c r="AO433" s="454">
        <f t="shared" ref="AO433:AO461" si="120">IF(AL433=0,0,AN433/AL433)</f>
        <v>0.10766997152725526</v>
      </c>
      <c r="AP433" s="94"/>
      <c r="AQ433" s="624">
        <v>3367938.6900000004</v>
      </c>
      <c r="AR433" s="625">
        <f t="shared" si="112"/>
        <v>-2736044.1300000004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30945.5</v>
      </c>
      <c r="AA434" s="484"/>
      <c r="AB434" s="484"/>
      <c r="AC434" s="485"/>
      <c r="AD434" s="486"/>
      <c r="AE434" s="487"/>
      <c r="AF434" s="485">
        <f t="shared" ref="AF434:AF447" si="122">+SUMIF($C:$C,$V434,L:L)</f>
        <v>22060.12</v>
      </c>
      <c r="AG434" s="486"/>
      <c r="AH434" s="488">
        <f t="shared" si="114"/>
        <v>-8885.380000000001</v>
      </c>
      <c r="AI434" s="489">
        <f t="shared" ref="AI434:AI451" si="123">IF(Z434=0,0,AH434/Z434)</f>
        <v>-0.28712995427445026</v>
      </c>
      <c r="AJ434" s="486"/>
      <c r="AK434" s="484"/>
      <c r="AL434" s="485">
        <f t="shared" ref="AL434:AL447" si="124">+SUMIF($C:$C,$V434,Q:Q)</f>
        <v>36033.03</v>
      </c>
      <c r="AM434" s="490"/>
      <c r="AN434" s="488">
        <f t="shared" si="119"/>
        <v>-13972.91</v>
      </c>
      <c r="AO434" s="462">
        <f t="shared" si="120"/>
        <v>-0.3877806001882162</v>
      </c>
      <c r="AP434" s="94"/>
      <c r="AQ434" s="628">
        <v>176878.05000000002</v>
      </c>
      <c r="AR434" s="506">
        <f t="shared" si="112"/>
        <v>-154817.93000000002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6924.45</v>
      </c>
      <c r="AG435" s="458"/>
      <c r="AH435" s="459">
        <f t="shared" si="114"/>
        <v>-2166.3123256114168</v>
      </c>
      <c r="AI435" s="460">
        <f t="shared" si="123"/>
        <v>-0.23829820294699183</v>
      </c>
      <c r="AJ435" s="465"/>
      <c r="AK435" s="456"/>
      <c r="AL435" s="457">
        <f t="shared" si="124"/>
        <v>23272.96999999999</v>
      </c>
      <c r="AM435" s="461"/>
      <c r="AN435" s="459">
        <f t="shared" si="119"/>
        <v>-16348.51999999999</v>
      </c>
      <c r="AO435" s="466">
        <f t="shared" si="120"/>
        <v>-0.70246814222679776</v>
      </c>
      <c r="AP435" s="94"/>
      <c r="AQ435" s="622">
        <v>67659.239999999991</v>
      </c>
      <c r="AR435" s="512">
        <f t="shared" si="112"/>
        <v>-60734.789999999994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49379.14</v>
      </c>
      <c r="AG436" s="442"/>
      <c r="AH436" s="443">
        <f t="shared" si="114"/>
        <v>3960.6106666666601</v>
      </c>
      <c r="AI436" s="470">
        <f t="shared" si="123"/>
        <v>8.7202529998255771E-2</v>
      </c>
      <c r="AJ436" s="469"/>
      <c r="AK436" s="440"/>
      <c r="AL436" s="441">
        <f t="shared" si="124"/>
        <v>46600.44</v>
      </c>
      <c r="AM436" s="445"/>
      <c r="AN436" s="443">
        <f t="shared" si="119"/>
        <v>2778.6999999999971</v>
      </c>
      <c r="AO436" s="446">
        <f t="shared" si="120"/>
        <v>5.9628192351831803E-2</v>
      </c>
      <c r="AP436" s="94"/>
      <c r="AQ436" s="623">
        <v>276796.59999999998</v>
      </c>
      <c r="AR436" s="620">
        <f t="shared" si="112"/>
        <v>-227417.45999999996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57830</v>
      </c>
      <c r="AA437" s="456"/>
      <c r="AB437" s="456"/>
      <c r="AC437" s="457"/>
      <c r="AD437" s="465"/>
      <c r="AE437" s="464"/>
      <c r="AF437" s="457">
        <f t="shared" si="122"/>
        <v>44065.64</v>
      </c>
      <c r="AG437" s="458"/>
      <c r="AH437" s="459">
        <f t="shared" si="114"/>
        <v>-13764.36</v>
      </c>
      <c r="AI437" s="460">
        <f t="shared" si="123"/>
        <v>-0.23801417949161335</v>
      </c>
      <c r="AJ437" s="465"/>
      <c r="AK437" s="456"/>
      <c r="AL437" s="457">
        <f t="shared" si="124"/>
        <v>44845.67</v>
      </c>
      <c r="AM437" s="461"/>
      <c r="AN437" s="459">
        <f t="shared" si="119"/>
        <v>-780.02999999999884</v>
      </c>
      <c r="AO437" s="466">
        <f t="shared" si="120"/>
        <v>-1.7393652497554365E-2</v>
      </c>
      <c r="AP437" s="94"/>
      <c r="AQ437" s="622">
        <v>239193.79</v>
      </c>
      <c r="AR437" s="512">
        <f t="shared" si="112"/>
        <v>-195128.15000000002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9500</v>
      </c>
      <c r="AA438" s="456"/>
      <c r="AB438" s="456"/>
      <c r="AC438" s="457"/>
      <c r="AD438" s="465"/>
      <c r="AE438" s="464"/>
      <c r="AF438" s="457">
        <f t="shared" si="122"/>
        <v>3537.6499999999996</v>
      </c>
      <c r="AG438" s="458"/>
      <c r="AH438" s="459">
        <f t="shared" si="114"/>
        <v>-5962.35</v>
      </c>
      <c r="AI438" s="460">
        <f t="shared" si="123"/>
        <v>-0.62761578947368424</v>
      </c>
      <c r="AJ438" s="465"/>
      <c r="AK438" s="456"/>
      <c r="AL438" s="457">
        <f t="shared" si="124"/>
        <v>8348.24</v>
      </c>
      <c r="AM438" s="461"/>
      <c r="AN438" s="459">
        <f t="shared" si="119"/>
        <v>-4810.59</v>
      </c>
      <c r="AO438" s="466">
        <f t="shared" si="120"/>
        <v>-0.57624002184891665</v>
      </c>
      <c r="AP438" s="94"/>
      <c r="AQ438" s="622">
        <v>42486.400000000001</v>
      </c>
      <c r="AR438" s="512">
        <f t="shared" si="112"/>
        <v>-38948.75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78808.897166884213</v>
      </c>
      <c r="AA439" s="456"/>
      <c r="AB439" s="456"/>
      <c r="AC439" s="457"/>
      <c r="AD439" s="465"/>
      <c r="AE439" s="464"/>
      <c r="AF439" s="457">
        <f t="shared" si="122"/>
        <v>73542.720000000001</v>
      </c>
      <c r="AG439" s="458"/>
      <c r="AH439" s="459">
        <f t="shared" si="114"/>
        <v>-5266.1771668842121</v>
      </c>
      <c r="AI439" s="460">
        <f t="shared" si="123"/>
        <v>-6.6822114712919475E-2</v>
      </c>
      <c r="AJ439" s="465"/>
      <c r="AK439" s="456"/>
      <c r="AL439" s="457">
        <f t="shared" si="124"/>
        <v>77734.91</v>
      </c>
      <c r="AM439" s="461"/>
      <c r="AN439" s="459">
        <f t="shared" si="119"/>
        <v>-4192.1900000000023</v>
      </c>
      <c r="AO439" s="466">
        <f t="shared" si="120"/>
        <v>-5.3929309238281771E-2</v>
      </c>
      <c r="AP439" s="94"/>
      <c r="AQ439" s="622">
        <v>240398.68</v>
      </c>
      <c r="AR439" s="512">
        <f t="shared" si="112"/>
        <v>-166855.96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10340</v>
      </c>
      <c r="AA441" s="456"/>
      <c r="AB441" s="464"/>
      <c r="AC441" s="457"/>
      <c r="AD441" s="465"/>
      <c r="AE441" s="464"/>
      <c r="AF441" s="457">
        <f t="shared" si="122"/>
        <v>21644.89</v>
      </c>
      <c r="AG441" s="458"/>
      <c r="AH441" s="459">
        <f t="shared" si="114"/>
        <v>11304.89</v>
      </c>
      <c r="AI441" s="460">
        <f t="shared" si="123"/>
        <v>1.0933162475822049</v>
      </c>
      <c r="AJ441" s="465"/>
      <c r="AK441" s="456"/>
      <c r="AL441" s="457">
        <f t="shared" si="124"/>
        <v>10895.169999999998</v>
      </c>
      <c r="AM441" s="461"/>
      <c r="AN441" s="459">
        <f t="shared" si="119"/>
        <v>10749.720000000001</v>
      </c>
      <c r="AO441" s="466">
        <f t="shared" si="120"/>
        <v>0.98665004768167941</v>
      </c>
      <c r="AP441" s="94"/>
      <c r="AQ441" s="622">
        <v>30518.469999999998</v>
      </c>
      <c r="AR441" s="512">
        <f t="shared" si="112"/>
        <v>-8873.5799999999981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2000</v>
      </c>
      <c r="AA442" s="456"/>
      <c r="AB442" s="456"/>
      <c r="AC442" s="457"/>
      <c r="AD442" s="465"/>
      <c r="AE442" s="464"/>
      <c r="AF442" s="457">
        <f t="shared" si="122"/>
        <v>1566.27</v>
      </c>
      <c r="AG442" s="458"/>
      <c r="AH442" s="459">
        <f t="shared" si="114"/>
        <v>-433.73</v>
      </c>
      <c r="AI442" s="479">
        <f t="shared" si="123"/>
        <v>-0.216865</v>
      </c>
      <c r="AJ442" s="465"/>
      <c r="AK442" s="456"/>
      <c r="AL442" s="457">
        <f t="shared" si="124"/>
        <v>2168.5099999999998</v>
      </c>
      <c r="AM442" s="461"/>
      <c r="AN442" s="459">
        <f t="shared" si="119"/>
        <v>-602.23999999999978</v>
      </c>
      <c r="AO442" s="466">
        <f t="shared" si="120"/>
        <v>-0.27772064689579473</v>
      </c>
      <c r="AP442" s="94"/>
      <c r="AQ442" s="622">
        <v>14808.84</v>
      </c>
      <c r="AR442" s="512">
        <f t="shared" si="112"/>
        <v>-13242.57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4607</v>
      </c>
      <c r="AA443" s="456"/>
      <c r="AB443" s="456"/>
      <c r="AC443" s="457"/>
      <c r="AD443" s="465"/>
      <c r="AE443" s="464"/>
      <c r="AF443" s="457">
        <f t="shared" si="122"/>
        <v>4190.6499999999996</v>
      </c>
      <c r="AG443" s="458"/>
      <c r="AH443" s="459">
        <f t="shared" si="114"/>
        <v>-416.35000000000036</v>
      </c>
      <c r="AI443" s="460">
        <f t="shared" si="123"/>
        <v>-9.0373344909919773E-2</v>
      </c>
      <c r="AJ443" s="465"/>
      <c r="AK443" s="456"/>
      <c r="AL443" s="457">
        <f t="shared" si="124"/>
        <v>3761.51</v>
      </c>
      <c r="AM443" s="461"/>
      <c r="AN443" s="459">
        <f t="shared" si="119"/>
        <v>429.13999999999942</v>
      </c>
      <c r="AO443" s="466">
        <f t="shared" si="120"/>
        <v>0.1140871618047006</v>
      </c>
      <c r="AP443" s="94"/>
      <c r="AQ443" s="622">
        <v>30323.510000000002</v>
      </c>
      <c r="AR443" s="512">
        <f t="shared" si="112"/>
        <v>-26132.86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1793.75</v>
      </c>
      <c r="AA444" s="456"/>
      <c r="AB444" s="456"/>
      <c r="AC444" s="457"/>
      <c r="AD444" s="465"/>
      <c r="AE444" s="464"/>
      <c r="AF444" s="457">
        <f t="shared" si="122"/>
        <v>2315.04</v>
      </c>
      <c r="AG444" s="458"/>
      <c r="AH444" s="459">
        <f t="shared" si="114"/>
        <v>521.29</v>
      </c>
      <c r="AI444" s="479">
        <f t="shared" si="123"/>
        <v>0.29061463414634142</v>
      </c>
      <c r="AJ444" s="465"/>
      <c r="AK444" s="456"/>
      <c r="AL444" s="457">
        <f t="shared" si="124"/>
        <v>1925.08</v>
      </c>
      <c r="AM444" s="461"/>
      <c r="AN444" s="459">
        <f t="shared" si="119"/>
        <v>389.96000000000004</v>
      </c>
      <c r="AO444" s="466">
        <f t="shared" si="120"/>
        <v>0.20256820495771607</v>
      </c>
      <c r="AP444" s="94"/>
      <c r="AQ444" s="622">
        <v>8588.4900000000016</v>
      </c>
      <c r="AR444" s="512">
        <f t="shared" si="112"/>
        <v>-6273.4500000000016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1424.4999999999998</v>
      </c>
      <c r="AA445" s="456"/>
      <c r="AB445" s="456"/>
      <c r="AC445" s="457"/>
      <c r="AD445" s="465"/>
      <c r="AE445" s="464"/>
      <c r="AF445" s="457">
        <f t="shared" si="122"/>
        <v>972.19999999999993</v>
      </c>
      <c r="AG445" s="458"/>
      <c r="AH445" s="459">
        <f t="shared" si="114"/>
        <v>-452.29999999999984</v>
      </c>
      <c r="AI445" s="460">
        <f t="shared" si="123"/>
        <v>-0.31751491751491745</v>
      </c>
      <c r="AJ445" s="465"/>
      <c r="AK445" s="456"/>
      <c r="AL445" s="457">
        <f t="shared" si="124"/>
        <v>2331.29</v>
      </c>
      <c r="AM445" s="461"/>
      <c r="AN445" s="459">
        <f t="shared" si="119"/>
        <v>-1359.0900000000001</v>
      </c>
      <c r="AO445" s="466">
        <f t="shared" si="120"/>
        <v>-0.58297766472639623</v>
      </c>
      <c r="AP445" s="94"/>
      <c r="AQ445" s="622">
        <v>3965.16</v>
      </c>
      <c r="AR445" s="512">
        <f t="shared" si="112"/>
        <v>-2992.96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750</v>
      </c>
      <c r="AA446" s="456"/>
      <c r="AB446" s="464"/>
      <c r="AC446" s="457"/>
      <c r="AD446" s="465"/>
      <c r="AE446" s="464"/>
      <c r="AF446" s="457">
        <f t="shared" si="122"/>
        <v>1720.6200000000001</v>
      </c>
      <c r="AG446" s="458"/>
      <c r="AH446" s="459">
        <f t="shared" si="114"/>
        <v>970.62000000000012</v>
      </c>
      <c r="AI446" s="479">
        <f t="shared" si="123"/>
        <v>1.2941600000000002</v>
      </c>
      <c r="AJ446" s="465"/>
      <c r="AK446" s="456"/>
      <c r="AL446" s="457">
        <f t="shared" si="124"/>
        <v>501.97</v>
      </c>
      <c r="AM446" s="461"/>
      <c r="AN446" s="459">
        <f t="shared" si="119"/>
        <v>1218.6500000000001</v>
      </c>
      <c r="AO446" s="466">
        <f t="shared" si="120"/>
        <v>2.4277347251827801</v>
      </c>
      <c r="AP446" s="94"/>
      <c r="AQ446" s="622">
        <v>9676.7800000000007</v>
      </c>
      <c r="AR446" s="512">
        <f t="shared" si="112"/>
        <v>-7956.1600000000008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9000</v>
      </c>
      <c r="AA447" s="456"/>
      <c r="AB447" s="464"/>
      <c r="AC447" s="457"/>
      <c r="AD447" s="465"/>
      <c r="AE447" s="464"/>
      <c r="AF447" s="457">
        <f t="shared" si="122"/>
        <v>12716.500000000002</v>
      </c>
      <c r="AG447" s="458"/>
      <c r="AH447" s="958">
        <f t="shared" si="114"/>
        <v>3716.5000000000018</v>
      </c>
      <c r="AI447" s="460">
        <f t="shared" si="123"/>
        <v>0.41294444444444467</v>
      </c>
      <c r="AJ447" s="465"/>
      <c r="AK447" s="456"/>
      <c r="AL447" s="457">
        <f t="shared" si="124"/>
        <v>4966.82</v>
      </c>
      <c r="AM447" s="461"/>
      <c r="AN447" s="459">
        <f t="shared" si="119"/>
        <v>7749.6800000000021</v>
      </c>
      <c r="AO447" s="466">
        <f t="shared" si="120"/>
        <v>1.5602900850040877</v>
      </c>
      <c r="AP447" s="94"/>
      <c r="AQ447" s="622">
        <v>39202.850000000006</v>
      </c>
      <c r="AR447" s="512">
        <f t="shared" si="112"/>
        <v>-26486.350000000006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12763.053730965537</v>
      </c>
      <c r="AA448" s="456"/>
      <c r="AB448" s="464"/>
      <c r="AC448" s="457"/>
      <c r="AD448" s="465"/>
      <c r="AE448" s="464"/>
      <c r="AF448" s="441">
        <f>SUMIFS(BV_Data_An_Cour!$P:$P,BV_Data_An_Cour!$V:$V,$V448)</f>
        <v>20904.309999999998</v>
      </c>
      <c r="AG448" s="458"/>
      <c r="AH448" s="905">
        <f t="shared" si="114"/>
        <v>8141.2562690344603</v>
      </c>
      <c r="AI448" s="460">
        <f t="shared" si="123"/>
        <v>0.63787683109742466</v>
      </c>
      <c r="AJ448" s="465"/>
      <c r="AK448" s="456"/>
      <c r="AL448" s="457" cm="1">
        <f t="array" ref="AL448">+SUMPRODUCT(('Réel 2024'!$A$8:$A$501=$A448)*('Réel 2024'!$C$3:$AO$3=Z$2),'Réel 2024'!$C$8:$AO$501)</f>
        <v>11049.85</v>
      </c>
      <c r="AM448" s="461"/>
      <c r="AN448" s="459">
        <f t="shared" si="119"/>
        <v>9854.4599999999973</v>
      </c>
      <c r="AO448" s="466">
        <f t="shared" si="120"/>
        <v>0.89181844097431162</v>
      </c>
      <c r="AP448" s="94"/>
      <c r="AQ448" s="623">
        <v>99368.799999999988</v>
      </c>
      <c r="AR448" s="620">
        <f t="shared" si="112"/>
        <v>-78464.489999999991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0.22226134912018863</v>
      </c>
      <c r="Y452" s="472"/>
      <c r="Z452" s="474">
        <f>+SUM(Z434:Z451)</f>
        <v>274271.99255679449</v>
      </c>
      <c r="AA452" s="473"/>
      <c r="AB452" s="472"/>
      <c r="AC452" s="474"/>
      <c r="AD452" s="475">
        <f>AF452/AF407</f>
        <v>0.234855877943173</v>
      </c>
      <c r="AE452" s="472"/>
      <c r="AF452" s="474">
        <f>+SUM(AF434:AF451)</f>
        <v>265540.19999999995</v>
      </c>
      <c r="AG452" s="481"/>
      <c r="AH452" s="955">
        <f>+SUM(AH434:AH451)</f>
        <v>-8731.7925567945094</v>
      </c>
      <c r="AI452" s="473">
        <f>AH452/Z452</f>
        <v>-3.1836253039895734E-2</v>
      </c>
      <c r="AJ452" s="475">
        <f>IF($AL$407=0,0,AL452/$AL$407)</f>
        <v>0.25929265731685353</v>
      </c>
      <c r="AK452" s="473"/>
      <c r="AL452" s="474">
        <f>+SUM(AL434:AL451)</f>
        <v>274435.45999999996</v>
      </c>
      <c r="AM452" s="482"/>
      <c r="AN452" s="477">
        <f>+SUM(AN434:AN451)</f>
        <v>-8895.2599999999893</v>
      </c>
      <c r="AO452" s="495">
        <f t="shared" si="120"/>
        <v>-3.2412939639797245E-2</v>
      </c>
      <c r="AP452" s="94"/>
      <c r="AQ452" s="624">
        <v>1279865.6600000001</v>
      </c>
      <c r="AR452" s="625">
        <f t="shared" si="112"/>
        <v>-1014325.4600000002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159000</v>
      </c>
      <c r="AA453" s="456"/>
      <c r="AB453" s="464"/>
      <c r="AC453" s="457"/>
      <c r="AD453" s="465"/>
      <c r="AE453" s="464"/>
      <c r="AF453" s="457">
        <f>SUMIFS(BV_Data_An_Cour!$P:$P,BV_Data_An_Cour!$V:$V,$V453)</f>
        <v>125500</v>
      </c>
      <c r="AG453" s="458"/>
      <c r="AH453" s="459">
        <f t="shared" ref="AH453:AH461" si="126">AF453-Z453</f>
        <v>-33500</v>
      </c>
      <c r="AI453" s="460">
        <f t="shared" ref="AI453:AI461" si="127">IF(Z453=0,0,AH453/Z453)</f>
        <v>-0.21069182389937108</v>
      </c>
      <c r="AJ453" s="465"/>
      <c r="AK453" s="456"/>
      <c r="AL453" s="457" cm="1">
        <f t="array" ref="AL453">+SUMPRODUCT(('Réel 2024'!$A$8:$A$501=$A453)*('Réel 2024'!$C$3:$AO$3=Z$2),'Réel 2024'!$C$8:$AO$501)</f>
        <v>72000</v>
      </c>
      <c r="AM453" s="461"/>
      <c r="AN453" s="459">
        <f t="shared" ref="AN453:AN461" si="128">AF453-AL453</f>
        <v>53500</v>
      </c>
      <c r="AO453" s="466">
        <f t="shared" si="120"/>
        <v>0.74305555555555558</v>
      </c>
      <c r="AP453" s="94"/>
      <c r="AQ453" s="622">
        <v>312000</v>
      </c>
      <c r="AR453" s="512">
        <f t="shared" si="112"/>
        <v>-186500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32000</v>
      </c>
      <c r="AA454" s="456"/>
      <c r="AB454" s="464"/>
      <c r="AC454" s="457"/>
      <c r="AD454" s="465"/>
      <c r="AE454" s="464"/>
      <c r="AF454" s="457">
        <f>SUMIFS(BV_Data_An_Cour!$P:$P,BV_Data_An_Cour!$V:$V,$V454)</f>
        <v>33000</v>
      </c>
      <c r="AG454" s="458"/>
      <c r="AH454" s="459">
        <f t="shared" si="126"/>
        <v>1000</v>
      </c>
      <c r="AI454" s="460">
        <f t="shared" si="127"/>
        <v>3.125E-2</v>
      </c>
      <c r="AJ454" s="465"/>
      <c r="AK454" s="456"/>
      <c r="AL454" s="457" cm="1">
        <f t="array" ref="AL454">+SUMPRODUCT(('Réel 2024'!$A$8:$A$501=$A454)*('Réel 2024'!$C$3:$AO$3=Z$2),'Réel 2024'!$C$8:$AO$501)</f>
        <v>10846</v>
      </c>
      <c r="AM454" s="461"/>
      <c r="AN454" s="459">
        <f t="shared" si="128"/>
        <v>22154</v>
      </c>
      <c r="AO454" s="466">
        <f t="shared" si="120"/>
        <v>2.0425963488843815</v>
      </c>
      <c r="AP454" s="94"/>
      <c r="AQ454" s="622">
        <v>59160</v>
      </c>
      <c r="AR454" s="512">
        <f t="shared" si="112"/>
        <v>-26160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3000</v>
      </c>
      <c r="AA455" s="440"/>
      <c r="AB455" s="468"/>
      <c r="AC455" s="441"/>
      <c r="AD455" s="469"/>
      <c r="AE455" s="468"/>
      <c r="AF455" s="441">
        <f>SUMIFS(BV_Data_An_Cour!$P:$P,BV_Data_An_Cour!$V:$V,$V455)</f>
        <v>3000</v>
      </c>
      <c r="AG455" s="442"/>
      <c r="AH455" s="443">
        <f t="shared" si="126"/>
        <v>0</v>
      </c>
      <c r="AI455" s="470">
        <f t="shared" si="127"/>
        <v>0</v>
      </c>
      <c r="AJ455" s="469"/>
      <c r="AK455" s="440"/>
      <c r="AL455" s="441" cm="1">
        <f t="array" ref="AL455">+SUMPRODUCT(('Réel 2024'!$A$8:$A$501=$A455)*('Réel 2024'!$C$3:$AO$3=Z$2),'Réel 2024'!$C$8:$AO$501)</f>
        <v>8518</v>
      </c>
      <c r="AM455" s="445"/>
      <c r="AN455" s="443">
        <f t="shared" si="128"/>
        <v>-5518</v>
      </c>
      <c r="AO455" s="446">
        <f t="shared" si="120"/>
        <v>-0.64780464897863343</v>
      </c>
      <c r="AP455" s="94"/>
      <c r="AQ455" s="623">
        <v>39360</v>
      </c>
      <c r="AR455" s="620">
        <f t="shared" si="112"/>
        <v>-36360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7904.25</v>
      </c>
      <c r="AG457" s="442"/>
      <c r="AH457" s="443">
        <f t="shared" si="126"/>
        <v>-784.25</v>
      </c>
      <c r="AI457" s="470">
        <f t="shared" si="127"/>
        <v>-9.0262991310352772E-2</v>
      </c>
      <c r="AJ457" s="469"/>
      <c r="AK457" s="440"/>
      <c r="AL457" s="441" cm="1">
        <f t="array" ref="AL457">+SUMPRODUCT(('Réel 2024'!$A$8:$A$501=$A457)*('Réel 2024'!$C$3:$AO$3=Z$2),'Réel 2024'!$C$8:$AO$501)</f>
        <v>8688.5</v>
      </c>
      <c r="AM457" s="445"/>
      <c r="AN457" s="443">
        <f t="shared" si="128"/>
        <v>-784.25</v>
      </c>
      <c r="AO457" s="446">
        <f t="shared" si="120"/>
        <v>-9.0262991310352772E-2</v>
      </c>
      <c r="AP457" s="94"/>
      <c r="AQ457" s="623">
        <v>51252</v>
      </c>
      <c r="AR457" s="620">
        <f t="shared" si="112"/>
        <v>-43347.75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15066.666666666664</v>
      </c>
      <c r="AA458" s="496"/>
      <c r="AB458" s="497"/>
      <c r="AC458" s="457"/>
      <c r="AD458" s="465"/>
      <c r="AE458" s="464"/>
      <c r="AF458" s="457">
        <f>SUMIFS(BV_Data_An_Cour!$P:$P,BV_Data_An_Cour!$V:$V,$V458)</f>
        <v>27063.670000000002</v>
      </c>
      <c r="AG458" s="458"/>
      <c r="AH458" s="459">
        <f t="shared" si="126"/>
        <v>11997.003333333338</v>
      </c>
      <c r="AI458" s="460">
        <f t="shared" si="127"/>
        <v>0.79626128318584111</v>
      </c>
      <c r="AJ458" s="465"/>
      <c r="AK458" s="456"/>
      <c r="AL458" s="457" cm="1">
        <f t="array" ref="AL458">+SUMPRODUCT(('Réel 2024'!$A$8:$A$501=$A458)*('Réel 2024'!$C$3:$AO$3=Z$2),'Réel 2024'!$C$8:$AO$501)</f>
        <v>18914.04</v>
      </c>
      <c r="AM458" s="461"/>
      <c r="AN458" s="459">
        <f t="shared" si="128"/>
        <v>8149.630000000001</v>
      </c>
      <c r="AO458" s="466">
        <f t="shared" si="120"/>
        <v>0.43087727423649314</v>
      </c>
      <c r="AP458" s="94"/>
      <c r="AQ458" s="622">
        <v>28763.690000000002</v>
      </c>
      <c r="AR458" s="512">
        <f t="shared" si="112"/>
        <v>-1700.0200000000004</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9690.33</v>
      </c>
      <c r="AA459" s="456"/>
      <c r="AB459" s="464"/>
      <c r="AC459" s="457"/>
      <c r="AD459" s="465"/>
      <c r="AE459" s="464"/>
      <c r="AF459" s="457">
        <f>SUMIFS(BV_Data_An_Cour!$P:$P,BV_Data_An_Cour!$V:$V,$V459)</f>
        <v>45838.43</v>
      </c>
      <c r="AG459" s="458"/>
      <c r="AH459" s="459">
        <f t="shared" si="126"/>
        <v>36148.1</v>
      </c>
      <c r="AI459" s="460">
        <f t="shared" si="127"/>
        <v>3.7303270373661164</v>
      </c>
      <c r="AJ459" s="465"/>
      <c r="AK459" s="456"/>
      <c r="AL459" s="457" cm="1">
        <f t="array" ref="AL459">+SUMPRODUCT(('Réel 2024'!$A$8:$A$501=$A459)*('Réel 2024'!$C$3:$AO$3=Z$2),'Réel 2024'!$C$8:$AO$501)</f>
        <v>14264.619999999999</v>
      </c>
      <c r="AM459" s="461"/>
      <c r="AN459" s="459">
        <f t="shared" si="128"/>
        <v>31573.81</v>
      </c>
      <c r="AO459" s="466">
        <f t="shared" si="120"/>
        <v>2.2134350582069486</v>
      </c>
      <c r="AP459" s="94"/>
      <c r="AQ459" s="622">
        <v>73723.959999999992</v>
      </c>
      <c r="AR459" s="512">
        <f t="shared" si="112"/>
        <v>-27885.529999999992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186.06</v>
      </c>
      <c r="AG460" s="442"/>
      <c r="AH460" s="443">
        <f t="shared" si="126"/>
        <v>-2543.0646815290738</v>
      </c>
      <c r="AI460" s="470">
        <f t="shared" si="127"/>
        <v>-0.93182429470545325</v>
      </c>
      <c r="AJ460" s="469"/>
      <c r="AK460" s="440"/>
      <c r="AL460" s="441" cm="1">
        <f t="array" ref="AL460">+SUMPRODUCT(('Réel 2024'!$A$8:$A$501=$A460)*('Réel 2024'!$C$3:$AO$3=Z$2),'Réel 2024'!$C$8:$AO$501)</f>
        <v>486.24</v>
      </c>
      <c r="AM460" s="445"/>
      <c r="AN460" s="443">
        <f t="shared" si="128"/>
        <v>-300.18</v>
      </c>
      <c r="AO460" s="446">
        <f t="shared" si="120"/>
        <v>-0.61734945705824285</v>
      </c>
      <c r="AP460" s="94"/>
      <c r="AQ460" s="623">
        <v>18683.22</v>
      </c>
      <c r="AR460" s="620">
        <f t="shared" si="112"/>
        <v>-18497.16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2500</v>
      </c>
      <c r="AA461" s="456"/>
      <c r="AB461" s="464"/>
      <c r="AC461" s="457"/>
      <c r="AD461" s="465"/>
      <c r="AE461" s="464"/>
      <c r="AF461" s="457">
        <f>SUMIFS(BV_Data_An_Cour!$P:$P,BV_Data_An_Cour!$V:$V,$V461)</f>
        <v>991.4</v>
      </c>
      <c r="AG461" s="458"/>
      <c r="AH461" s="459">
        <f t="shared" si="126"/>
        <v>-1508.6</v>
      </c>
      <c r="AI461" s="498">
        <f t="shared" si="127"/>
        <v>-0.60343999999999998</v>
      </c>
      <c r="AJ461" s="456"/>
      <c r="AK461" s="456"/>
      <c r="AL461" s="457" cm="1">
        <f t="array" ref="AL461">+SUMPRODUCT(('Réel 2024'!$A$8:$A$501=$A461)*('Réel 2024'!$C$3:$AO$3=Z$2),'Réel 2024'!$C$8:$AO$501)</f>
        <v>2371.83</v>
      </c>
      <c r="AM461" s="461"/>
      <c r="AN461" s="459">
        <f t="shared" si="128"/>
        <v>-1380.4299999999998</v>
      </c>
      <c r="AO461" s="466">
        <f t="shared" si="120"/>
        <v>-0.58201051508750623</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0.18855215497867614</v>
      </c>
      <c r="Y466" s="472"/>
      <c r="Z466" s="474">
        <f>SUM(Z453:Z465)</f>
        <v>232674.62134819571</v>
      </c>
      <c r="AA466" s="473"/>
      <c r="AB466" s="472"/>
      <c r="AC466" s="474"/>
      <c r="AD466" s="475">
        <f>AF466/AF407</f>
        <v>0.21534819949107042</v>
      </c>
      <c r="AE466" s="472"/>
      <c r="AF466" s="474">
        <f>SUM(AF453:AF465)</f>
        <v>243483.81</v>
      </c>
      <c r="AG466" s="481"/>
      <c r="AH466" s="955">
        <f>SUM(AH453:AH465)</f>
        <v>10809.188651804261</v>
      </c>
      <c r="AI466" s="473">
        <f>IF(Z466=0,0,AH466/Z466)</f>
        <v>4.6456242581043666E-2</v>
      </c>
      <c r="AJ466" s="475">
        <f>IF($AL$407=0,0,AL466/$AL$407)</f>
        <v>0.12858009704323362</v>
      </c>
      <c r="AK466" s="473"/>
      <c r="AL466" s="474">
        <f>SUM(AL453:AL465)</f>
        <v>136089.22999999998</v>
      </c>
      <c r="AM466" s="482"/>
      <c r="AN466" s="477">
        <f>SUM(AN453:AN465)</f>
        <v>107394.58000000002</v>
      </c>
      <c r="AO466" s="495">
        <f t="shared" ref="AO466:AO483" si="129">IF(AL466=0,0,AN466/AL466)</f>
        <v>0.78914826691281914</v>
      </c>
      <c r="AP466" s="94"/>
      <c r="AQ466" s="624">
        <v>582942.87</v>
      </c>
      <c r="AR466" s="625">
        <f t="shared" si="112"/>
        <v>-339459.06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1.1240864858739212</v>
      </c>
      <c r="Y468" s="472"/>
      <c r="Z468" s="474">
        <f>Z419+Z433+Z452+Z466</f>
        <v>1387130.2478240971</v>
      </c>
      <c r="AA468" s="473"/>
      <c r="AB468" s="472"/>
      <c r="AC468" s="474"/>
      <c r="AD468" s="475">
        <f>AF468/AF407</f>
        <v>1.2227654261452445</v>
      </c>
      <c r="AE468" s="472"/>
      <c r="AF468" s="474">
        <f>AF419+AF433+AF452+AF466</f>
        <v>1382521.82</v>
      </c>
      <c r="AG468" s="481"/>
      <c r="AH468" s="477">
        <f t="shared" si="130"/>
        <v>-4608.427824096987</v>
      </c>
      <c r="AI468" s="473">
        <f>AH468/Z468</f>
        <v>-3.3222747693130725E-3</v>
      </c>
      <c r="AJ468" s="475">
        <f>IF($AL$407=0,0,AL468/$AL$407)</f>
        <v>1.1317719419293903</v>
      </c>
      <c r="AK468" s="473"/>
      <c r="AL468" s="474">
        <f>AL419+AL433+AL452+AL466</f>
        <v>1197867.9099999999</v>
      </c>
      <c r="AM468" s="482"/>
      <c r="AN468" s="477">
        <f t="shared" si="131"/>
        <v>184653.91000000015</v>
      </c>
      <c r="AO468" s="454">
        <f t="shared" si="129"/>
        <v>0.15415214687569365</v>
      </c>
      <c r="AP468" s="94"/>
      <c r="AQ468" s="624">
        <v>6902902.9400000004</v>
      </c>
      <c r="AR468" s="625">
        <f t="shared" ref="AR468:AR481" si="132">AF468-AQ468</f>
        <v>-5520381.1200000001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9080.56</v>
      </c>
      <c r="AG469" s="505"/>
      <c r="AH469" s="459">
        <f t="shared" si="130"/>
        <v>9080.56</v>
      </c>
      <c r="AI469" s="498" t="e">
        <f>IF(AH469=0,0,AH469/Z469)</f>
        <v>#DIV/0!</v>
      </c>
      <c r="AJ469" s="504"/>
      <c r="AK469" s="502"/>
      <c r="AL469" s="506" cm="1">
        <f t="array" ref="AL469">+SUMPRODUCT(('Réel 2024'!$A$8:$A$501=$A469)*('Réel 2024'!$C$3:$AO$3=Z$2),'Réel 2024'!$C$8:$AO$501)</f>
        <v>28064.129999999997</v>
      </c>
      <c r="AM469" s="507"/>
      <c r="AN469" s="459">
        <f t="shared" si="131"/>
        <v>-18983.57</v>
      </c>
      <c r="AO469" s="466">
        <f t="shared" si="129"/>
        <v>-0.67643536428886275</v>
      </c>
      <c r="AP469" s="94"/>
      <c r="AQ469" s="622">
        <v>275258.11</v>
      </c>
      <c r="AR469" s="512">
        <f t="shared" si="132"/>
        <v>-266177.55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130965.70820062955</v>
      </c>
      <c r="AA470" s="496"/>
      <c r="AB470" s="497"/>
      <c r="AC470" s="457"/>
      <c r="AD470" s="511"/>
      <c r="AE470" s="497"/>
      <c r="AF470" s="457">
        <f t="shared" ref="AF470:AF480" si="134">+SUMIF($C:$C,$V470,L:L)</f>
        <v>138717</v>
      </c>
      <c r="AG470" s="510"/>
      <c r="AH470" s="459">
        <f t="shared" si="130"/>
        <v>7751.2917993704468</v>
      </c>
      <c r="AI470" s="479">
        <f>IF(Z470=0,0,AH470/Z470)</f>
        <v>5.9185659405560226E-2</v>
      </c>
      <c r="AJ470" s="511"/>
      <c r="AK470" s="496"/>
      <c r="AL470" s="512">
        <f t="shared" ref="AL470:AL476" si="135">+SUMIF($C:$C,$V470,Q:Q)</f>
        <v>130200</v>
      </c>
      <c r="AM470" s="508"/>
      <c r="AN470" s="459">
        <f t="shared" si="131"/>
        <v>8517</v>
      </c>
      <c r="AO470" s="466">
        <f t="shared" si="129"/>
        <v>6.5414746543778796E-2</v>
      </c>
      <c r="AP470" s="94"/>
      <c r="AQ470" s="622">
        <v>693962.92</v>
      </c>
      <c r="AR470" s="512">
        <f t="shared" si="132"/>
        <v>-555245.92000000004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29700</v>
      </c>
      <c r="AG471" s="510"/>
      <c r="AH471" s="459">
        <f t="shared" si="130"/>
        <v>29700</v>
      </c>
      <c r="AI471" s="479" t="e">
        <f t="shared" ref="AI471:AI480" si="136">IF(AH471=0,0,AH471/Z471)</f>
        <v>#DIV/0!</v>
      </c>
      <c r="AJ471" s="511"/>
      <c r="AK471" s="496"/>
      <c r="AL471" s="512">
        <f t="shared" si="135"/>
        <v>0</v>
      </c>
      <c r="AM471" s="508"/>
      <c r="AN471" s="459">
        <f t="shared" si="131"/>
        <v>29700</v>
      </c>
      <c r="AO471" s="466">
        <f t="shared" si="129"/>
        <v>0</v>
      </c>
      <c r="AP471" s="94"/>
      <c r="AQ471" s="622">
        <v>43300</v>
      </c>
      <c r="AR471" s="512">
        <f t="shared" si="132"/>
        <v>-13600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74628.2</v>
      </c>
      <c r="AA480" s="496"/>
      <c r="AB480" s="497"/>
      <c r="AC480" s="457"/>
      <c r="AD480" s="511"/>
      <c r="AE480" s="497"/>
      <c r="AF480" s="457">
        <f t="shared" si="134"/>
        <v>67686</v>
      </c>
      <c r="AG480" s="510"/>
      <c r="AH480" s="459">
        <f t="shared" si="130"/>
        <v>-6942.1999999999971</v>
      </c>
      <c r="AI480" s="479">
        <f t="shared" si="136"/>
        <v>-9.3023816734156758E-2</v>
      </c>
      <c r="AJ480" s="511"/>
      <c r="AK480" s="496"/>
      <c r="AL480" s="512" cm="1">
        <f t="array" ref="AL480">+SUMPRODUCT(('Réel 2024'!$A$8:$A$501=$A480)*('Réel 2024'!$C$3:$AO$3=Z$2),'Réel 2024'!$C$8:$AO$501)</f>
        <v>59877</v>
      </c>
      <c r="AM480" s="508"/>
      <c r="AN480" s="459">
        <f t="shared" si="131"/>
        <v>7809</v>
      </c>
      <c r="AO480" s="466">
        <f t="shared" si="129"/>
        <v>0.13041735557893683</v>
      </c>
      <c r="AP480" s="94"/>
      <c r="AQ480" s="622">
        <v>331468.49</v>
      </c>
      <c r="AR480" s="512">
        <f t="shared" si="132"/>
        <v>-263782.49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0.16660680145130674</v>
      </c>
      <c r="Y481" s="493"/>
      <c r="Z481" s="474">
        <f>SUM(Z469:Z480)</f>
        <v>205593.90820062955</v>
      </c>
      <c r="AA481" s="473"/>
      <c r="AB481" s="493"/>
      <c r="AC481" s="474"/>
      <c r="AD481" s="473">
        <f>AF481/+AF407</f>
        <v>0.21685153600484089</v>
      </c>
      <c r="AE481" s="493"/>
      <c r="AF481" s="474">
        <f>SUM(AF469:AF480)</f>
        <v>245183.56</v>
      </c>
      <c r="AG481" s="481"/>
      <c r="AH481" s="477">
        <f t="shared" si="130"/>
        <v>39589.651799370447</v>
      </c>
      <c r="AI481" s="473">
        <f>AH481/Z481</f>
        <v>0.1925623776787041</v>
      </c>
      <c r="AJ481" s="514"/>
      <c r="AK481" s="515"/>
      <c r="AL481" s="474">
        <f>SUM(AL469:AL480)</f>
        <v>218141.13</v>
      </c>
      <c r="AM481" s="516"/>
      <c r="AN481" s="477">
        <f t="shared" si="131"/>
        <v>27042.429999999993</v>
      </c>
      <c r="AO481" s="495">
        <f t="shared" si="129"/>
        <v>0.12396758923913154</v>
      </c>
      <c r="AP481" s="94"/>
      <c r="AQ481" s="624">
        <v>1343989.52</v>
      </c>
      <c r="AR481" s="625">
        <f t="shared" si="132"/>
        <v>-1098805.96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6.1078118917181692E-3</v>
      </c>
      <c r="Z483" s="534">
        <f>Z407-Z468+Z481</f>
        <v>52470.354039140075</v>
      </c>
      <c r="AA483" s="532"/>
      <c r="AB483" s="533"/>
      <c r="AC483" s="534"/>
      <c r="AD483" s="532" t="s">
        <v>219</v>
      </c>
      <c r="AE483" s="533">
        <f>AF483/AF406</f>
        <v>-7.6050452829542591E-4</v>
      </c>
      <c r="AF483" s="535">
        <f>AF407-AF468+AF481</f>
        <v>-6686.5499999996391</v>
      </c>
      <c r="AG483" s="536"/>
      <c r="AH483" s="536">
        <f>AF483-Z483</f>
        <v>-59156.904039139714</v>
      </c>
      <c r="AI483" s="537">
        <f>AH483/Z483</f>
        <v>-1.1274348176688846</v>
      </c>
      <c r="AJ483" s="538" t="s">
        <v>219</v>
      </c>
      <c r="AK483" s="533">
        <f>IF($AL$406=0,0,AL483/$AL$406)</f>
        <v>9.7927194308536983E-3</v>
      </c>
      <c r="AL483" s="535">
        <f>AL407-AL468+AL481</f>
        <v>78673.649999998393</v>
      </c>
      <c r="AM483" s="539"/>
      <c r="AN483" s="535">
        <f t="shared" si="131"/>
        <v>-85360.199999998033</v>
      </c>
      <c r="AO483" s="540">
        <f t="shared" si="129"/>
        <v>-1.0849909721997109</v>
      </c>
      <c r="AP483" s="94"/>
      <c r="AQ483" s="539">
        <v>2236846.7700000028</v>
      </c>
      <c r="AR483" s="543">
        <f>AF483-AQ483</f>
        <v>-2243533.3200000026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1.0849838481047577E-2</v>
      </c>
      <c r="Z488" s="1129">
        <f>Z489+Z415</f>
        <v>93207.662000852099</v>
      </c>
      <c r="AA488" s="1127"/>
      <c r="AB488" s="1128"/>
      <c r="AC488" s="534"/>
      <c r="AD488" s="1127" t="s">
        <v>219</v>
      </c>
      <c r="AE488" s="1128">
        <f>AF488/AF406</f>
        <v>4.872587105733483E-3</v>
      </c>
      <c r="AF488" s="1129">
        <f>AF489+AF415</f>
        <v>42841.030000000363</v>
      </c>
      <c r="AG488" s="536"/>
      <c r="AH488" s="536">
        <f t="shared" ref="AH488" si="137">AF488-Z488</f>
        <v>-50366.632000851736</v>
      </c>
      <c r="AI488" s="537">
        <f>AH488/Z488</f>
        <v>-0.54037008245514506</v>
      </c>
      <c r="AJ488" s="1127" t="s">
        <v>219</v>
      </c>
      <c r="AK488" s="1128">
        <f>IF($AL$406=0,0,AL488/$AL$406)</f>
        <v>1.232370193297465E-2</v>
      </c>
      <c r="AL488" s="1129">
        <f>AL489+AL415</f>
        <v>99007.289999998393</v>
      </c>
      <c r="AM488" s="539"/>
      <c r="AN488" s="1129">
        <f t="shared" ref="AN488" si="138">AF488-AL488</f>
        <v>-56166.25999999803</v>
      </c>
      <c r="AO488" s="1130">
        <f t="shared" ref="AO488" si="139">IF(AL488=0,0,AN488/AL488)</f>
        <v>-0.5672941861149714</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6.1078118917181692E-3</v>
      </c>
      <c r="Z489" s="534">
        <f>Z483</f>
        <v>52470.354039140075</v>
      </c>
      <c r="AA489" s="532"/>
      <c r="AB489" s="533"/>
      <c r="AC489" s="534"/>
      <c r="AD489" s="532" t="s">
        <v>219</v>
      </c>
      <c r="AE489" s="533">
        <f>AF489/AF406</f>
        <v>-7.6050452829542591E-4</v>
      </c>
      <c r="AF489" s="534">
        <f>AF483</f>
        <v>-6686.5499999996391</v>
      </c>
      <c r="AG489" s="535"/>
      <c r="AH489" s="536">
        <f>AF489-Z489</f>
        <v>-59156.904039139714</v>
      </c>
      <c r="AI489" s="537">
        <f>AH489/Z489</f>
        <v>-1.1274348176688846</v>
      </c>
      <c r="AJ489" s="532" t="s">
        <v>219</v>
      </c>
      <c r="AK489" s="533">
        <f>IF($AL$406=0,0,AL489/$AL$406)</f>
        <v>9.7927194308536983E-3</v>
      </c>
      <c r="AL489" s="543">
        <f>AL483</f>
        <v>78673.649999998393</v>
      </c>
      <c r="AM489" s="544"/>
      <c r="AN489" s="545">
        <f>AF489-AL489</f>
        <v>-85360.199999998033</v>
      </c>
      <c r="AO489" s="546">
        <f>IF(AL489=0,0,AN489/AL489)</f>
        <v>-1.0849909721997109</v>
      </c>
      <c r="AP489" s="94"/>
      <c r="AQ489" s="637">
        <v>2236846.7700000028</v>
      </c>
      <c r="AR489" s="543">
        <f>AF489-AQ489</f>
        <v>-2243533.3200000026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19033.333333333332</v>
      </c>
      <c r="AA491" s="456"/>
      <c r="AB491" s="464"/>
      <c r="AC491" s="457"/>
      <c r="AD491" s="456"/>
      <c r="AE491" s="464"/>
      <c r="AF491" s="457">
        <f>SUMIFS(BV_Data_An_Cour!$P:$P,BV_Data_An_Cour!$V:$V,$V491)</f>
        <v>19034</v>
      </c>
      <c r="AG491" s="456"/>
      <c r="AH491" s="459">
        <f t="shared" ref="AH491:AH498" si="140">AF491-Z491</f>
        <v>0.66666666666787933</v>
      </c>
      <c r="AI491" s="479">
        <f t="shared" ref="AI491:AI497" si="141">IF(Z491=0,0,AH491/Z491)</f>
        <v>3.5026269702340423E-5</v>
      </c>
      <c r="AJ491" s="456"/>
      <c r="AK491" s="456"/>
      <c r="AL491" s="457" cm="1">
        <f t="array" ref="AL491">+SUMPRODUCT(('Réel 2024'!$A$8:$A$501=$A491)*('Réel 2024'!$C$3:$AO$3=Z$2),'Réel 2024'!$C$8:$AO$501)</f>
        <v>85296</v>
      </c>
      <c r="AM491" s="461"/>
      <c r="AN491" s="459">
        <f t="shared" ref="AN491:AN498" si="142">AF491-AL491</f>
        <v>-66262</v>
      </c>
      <c r="AO491" s="466">
        <f t="shared" ref="AO491:AO498" si="143">IF(AL491=0,0,AN491/AL491)</f>
        <v>-0.7768476833614707</v>
      </c>
      <c r="AP491" s="94"/>
      <c r="AQ491" s="622">
        <v>51774</v>
      </c>
      <c r="AR491" s="512">
        <f t="shared" ref="AR491:AR493" si="144">AF491-AQ491</f>
        <v>-32740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21977.26</v>
      </c>
      <c r="AG493" s="38"/>
      <c r="AH493" s="459">
        <f t="shared" si="140"/>
        <v>21977.26</v>
      </c>
      <c r="AI493" s="479">
        <f t="shared" si="141"/>
        <v>0</v>
      </c>
      <c r="AJ493" s="38"/>
      <c r="AK493" s="38"/>
      <c r="AL493" s="457" cm="1">
        <f t="array" ref="AL493">+SUMPRODUCT(('Réel 2024'!$A$8:$A$501=$A493)*('Réel 2024'!$C$3:$AO$3=Z$2),'Réel 2024'!$C$8:$AO$501)</f>
        <v>0</v>
      </c>
      <c r="AM493" s="551"/>
      <c r="AN493" s="459">
        <f t="shared" si="142"/>
        <v>21977.26</v>
      </c>
      <c r="AO493" s="466">
        <f t="shared" si="143"/>
        <v>0</v>
      </c>
      <c r="AP493" s="94"/>
      <c r="AQ493" s="622">
        <v>5121.4799999999996</v>
      </c>
      <c r="AR493" s="512">
        <f t="shared" si="144"/>
        <v>16855.78</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0</v>
      </c>
      <c r="AG496" s="38"/>
      <c r="AH496" s="459">
        <f t="shared" si="140"/>
        <v>0</v>
      </c>
      <c r="AI496" s="479">
        <f t="shared" si="141"/>
        <v>0</v>
      </c>
      <c r="AJ496" s="38"/>
      <c r="AK496" s="38"/>
      <c r="AL496" s="457" cm="1">
        <f t="array" ref="AL496">+SUMPRODUCT(('Réel 2024'!$A$8:$A$501=$A496)*('Réel 2024'!$C$3:$AO$3=Z$2),'Réel 2024'!$C$8:$AO$501)</f>
        <v>-2158</v>
      </c>
      <c r="AM496" s="551"/>
      <c r="AN496" s="459">
        <f t="shared" si="142"/>
        <v>2158</v>
      </c>
      <c r="AO496" s="466">
        <f t="shared" si="143"/>
        <v>-1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3.8922366054212378E-3</v>
      </c>
      <c r="Z498" s="534">
        <f>Z489-Z491-Z492-Z493-Z497-Z496</f>
        <v>33437.020705806746</v>
      </c>
      <c r="AA498" s="532"/>
      <c r="AB498" s="533"/>
      <c r="AC498" s="534"/>
      <c r="AD498" s="532" t="s">
        <v>219</v>
      </c>
      <c r="AE498" s="533">
        <f>AF498/AF406</f>
        <v>-5.4249800711542616E-3</v>
      </c>
      <c r="AF498" s="535">
        <f>AF489-AF491-AF492-AF493-AF497-AF496</f>
        <v>-47697.809999999634</v>
      </c>
      <c r="AG498" s="536"/>
      <c r="AH498" s="536">
        <f t="shared" si="140"/>
        <v>-81134.83070580638</v>
      </c>
      <c r="AI498" s="537">
        <f>AH498/Z498</f>
        <v>-2.4264970082013417</v>
      </c>
      <c r="AJ498" s="538" t="s">
        <v>219</v>
      </c>
      <c r="AK498" s="533">
        <f>IF($AL$406=0,0,AL498/$AL$406)</f>
        <v>-5.5568957320714532E-4</v>
      </c>
      <c r="AL498" s="535">
        <f>AL489-AL491-AL492-AL493-AL497-AL496</f>
        <v>-4464.3500000016065</v>
      </c>
      <c r="AM498" s="539"/>
      <c r="AN498" s="535">
        <f t="shared" si="142"/>
        <v>-43233.459999998027</v>
      </c>
      <c r="AO498" s="553">
        <f t="shared" si="143"/>
        <v>9.684155588155603</v>
      </c>
      <c r="AP498" s="94"/>
      <c r="AQ498" s="544">
        <v>2179951.2900000028</v>
      </c>
      <c r="AR498" s="639">
        <f>AF498-AQ498</f>
        <v>-2227649.1000000024</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33437.020705806746</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8"/>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8"/>
      <c r="AG508" s="1019"/>
      <c r="AH508" s="1017"/>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24" t="s">
        <v>682</v>
      </c>
      <c r="C2" s="1325"/>
      <c r="D2" s="1326"/>
      <c r="E2" s="3"/>
      <c r="F2" s="1324" t="s">
        <v>683</v>
      </c>
      <c r="G2" s="1325"/>
      <c r="H2" s="1326"/>
      <c r="I2" s="3"/>
      <c r="J2" s="589" t="s">
        <v>655</v>
      </c>
      <c r="K2" s="3"/>
      <c r="L2" s="589" t="s">
        <v>684</v>
      </c>
      <c r="M2" s="3"/>
      <c r="N2" s="589" t="s">
        <v>685</v>
      </c>
      <c r="O2" s="3"/>
      <c r="P2" s="1324" t="s">
        <v>686</v>
      </c>
      <c r="Q2" s="132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69022.350000000006</v>
      </c>
      <c r="C4" s="590">
        <f t="shared" ref="C4:C9" si="0">D4/B4</f>
        <v>0.37454186940896683</v>
      </c>
      <c r="D4" s="565">
        <f>+Print_Mois!L295</f>
        <v>25851.760000000006</v>
      </c>
      <c r="E4" s="3"/>
      <c r="F4" s="565">
        <f>+Print_Mois!G295</f>
        <v>0</v>
      </c>
      <c r="G4" s="590" t="e">
        <f t="shared" ref="G4:G9" si="1">H4/F4</f>
        <v>#DIV/0!</v>
      </c>
      <c r="H4" s="565">
        <f>+Print_Mois!I295</f>
        <v>0</v>
      </c>
      <c r="I4" s="3"/>
      <c r="J4" s="566">
        <f t="shared" ref="J4:J11" si="2">+D4-H4</f>
        <v>25851.760000000006</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103612.37000000001</v>
      </c>
      <c r="C5" s="590">
        <f t="shared" si="0"/>
        <v>0.23160448892347515</v>
      </c>
      <c r="D5" s="565">
        <f>+Print_Mois!L296</f>
        <v>23997.090000000011</v>
      </c>
      <c r="E5" s="3"/>
      <c r="F5" s="565">
        <f>+Print_Mois!G296</f>
        <v>0</v>
      </c>
      <c r="G5" s="590" t="e">
        <f t="shared" si="1"/>
        <v>#DIV/0!</v>
      </c>
      <c r="H5" s="565">
        <f>+Print_Mois!I296</f>
        <v>0</v>
      </c>
      <c r="I5" s="3"/>
      <c r="J5" s="566">
        <f t="shared" si="2"/>
        <v>23997.090000000011</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104200.76</v>
      </c>
      <c r="C6" s="590">
        <f t="shared" si="0"/>
        <v>0.23302824278824841</v>
      </c>
      <c r="D6" s="565">
        <f>+Print_Mois!L297</f>
        <v>24281.72</v>
      </c>
      <c r="E6" s="3"/>
      <c r="F6" s="565">
        <f>+Print_Mois!G297</f>
        <v>0</v>
      </c>
      <c r="G6" s="590" t="e">
        <f t="shared" si="1"/>
        <v>#DIV/0!</v>
      </c>
      <c r="H6" s="565">
        <f>+Print_Mois!I297</f>
        <v>0</v>
      </c>
      <c r="I6" s="3"/>
      <c r="J6" s="566">
        <f t="shared" si="2"/>
        <v>24281.72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58808.68</v>
      </c>
      <c r="C7" s="590">
        <f t="shared" si="0"/>
        <v>0.28604893019193772</v>
      </c>
      <c r="D7" s="565">
        <f>+Print_Mois!L298</f>
        <v>16822.160000000003</v>
      </c>
      <c r="E7" s="3"/>
      <c r="F7" s="565">
        <f>+Print_Mois!G298</f>
        <v>0</v>
      </c>
      <c r="G7" s="590" t="e">
        <f t="shared" si="1"/>
        <v>#DIV/0!</v>
      </c>
      <c r="H7" s="565">
        <f>+Print_Mois!I298</f>
        <v>0</v>
      </c>
      <c r="I7" s="3"/>
      <c r="J7" s="566">
        <f t="shared" si="2"/>
        <v>16822.160000000003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8951.66</v>
      </c>
      <c r="C8" s="590">
        <f t="shared" si="0"/>
        <v>0.30446308282486151</v>
      </c>
      <c r="D8" s="565">
        <f>+Print_Mois!L299</f>
        <v>2725.45</v>
      </c>
      <c r="E8" s="3"/>
      <c r="F8" s="565">
        <f>+Print_Mois!G299</f>
        <v>0</v>
      </c>
      <c r="G8" s="590" t="e">
        <f t="shared" si="1"/>
        <v>#DIV/0!</v>
      </c>
      <c r="H8" s="565">
        <f>+Print_Mois!I299</f>
        <v>0</v>
      </c>
      <c r="I8" s="3"/>
      <c r="J8" s="566">
        <f t="shared" si="2"/>
        <v>2725.45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204248.82</v>
      </c>
      <c r="C9" s="590">
        <f t="shared" si="0"/>
        <v>0.14800555518509237</v>
      </c>
      <c r="D9" s="565">
        <f>+Print_Mois!L300</f>
        <v>30229.96</v>
      </c>
      <c r="E9" s="3"/>
      <c r="F9" s="565">
        <f>+Print_Mois!G300</f>
        <v>0</v>
      </c>
      <c r="G9" s="590" t="e">
        <f t="shared" si="1"/>
        <v>#DIV/0!</v>
      </c>
      <c r="H9" s="565">
        <f>+Print_Mois!I300</f>
        <v>0</v>
      </c>
      <c r="I9" s="3"/>
      <c r="J9" s="566">
        <f t="shared" si="2"/>
        <v>30229.96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6351.880000000001</v>
      </c>
      <c r="E10" s="3"/>
      <c r="F10" s="565"/>
      <c r="G10" s="590"/>
      <c r="H10" s="565">
        <f>+Print_Mois!I302</f>
        <v>0</v>
      </c>
      <c r="I10" s="3"/>
      <c r="J10" s="566">
        <f t="shared" si="2"/>
        <v>6351.880000000001</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548844.64</v>
      </c>
      <c r="C12" s="592">
        <f>+D12/B12</f>
        <v>0.23733495875991431</v>
      </c>
      <c r="D12" s="591">
        <f>SUM(D4:D11)</f>
        <v>130260.02000000002</v>
      </c>
      <c r="E12" s="3"/>
      <c r="F12" s="591">
        <f>SUM(F4:F11)</f>
        <v>0</v>
      </c>
      <c r="G12" s="592" t="e">
        <f>+H12/F12</f>
        <v>#DIV/0!</v>
      </c>
      <c r="H12" s="591">
        <f>SUM(H4:H11)</f>
        <v>0</v>
      </c>
      <c r="I12" s="3"/>
      <c r="J12" s="591">
        <f>SUM(J4:J11)</f>
        <v>130260.02000000002</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58367.79</v>
      </c>
      <c r="C14" s="590">
        <f t="shared" ref="C14:C15" si="8">D14/B14</f>
        <v>0.1913301839936033</v>
      </c>
      <c r="D14" s="565">
        <f>+Print_Mois!L307</f>
        <v>11167.519999999999</v>
      </c>
      <c r="E14" s="3"/>
      <c r="F14" s="565">
        <f>+Print_Mois!G307</f>
        <v>0</v>
      </c>
      <c r="G14" s="590" t="e">
        <f t="shared" ref="G14:G15" si="9">H14/F14</f>
        <v>#DIV/0!</v>
      </c>
      <c r="H14" s="565">
        <f>+Print_Mois!I307</f>
        <v>0</v>
      </c>
      <c r="I14" s="3"/>
      <c r="J14" s="566">
        <f t="shared" ref="J14:J15" si="10">+D14-H14</f>
        <v>11167.519999999999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16396.48</v>
      </c>
      <c r="C15" s="590">
        <f t="shared" si="8"/>
        <v>0.28624680419211923</v>
      </c>
      <c r="D15" s="565">
        <f>+Print_Mois!L308</f>
        <v>4693.4399999999987</v>
      </c>
      <c r="E15" s="3"/>
      <c r="F15" s="565">
        <f>+Print_Mois!G308</f>
        <v>0</v>
      </c>
      <c r="G15" s="590" t="e">
        <f t="shared" si="9"/>
        <v>#DIV/0!</v>
      </c>
      <c r="H15" s="565">
        <f>+Print_Mois!I308</f>
        <v>0</v>
      </c>
      <c r="I15" s="3"/>
      <c r="J15" s="566">
        <f t="shared" si="10"/>
        <v>4693.4399999999987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74764.27</v>
      </c>
      <c r="C16" s="594">
        <f>+D16/B16</f>
        <v>0.21214625649391075</v>
      </c>
      <c r="D16" s="593">
        <f>SUM(D14:D15)</f>
        <v>15860.959999999997</v>
      </c>
      <c r="E16" s="3"/>
      <c r="F16" s="593">
        <f>SUM(F14:F15)</f>
        <v>0</v>
      </c>
      <c r="G16" s="594" t="e">
        <f>+H16/F16</f>
        <v>#DIV/0!</v>
      </c>
      <c r="H16" s="593">
        <f>SUM(H14:H15)</f>
        <v>0</v>
      </c>
      <c r="I16" s="3"/>
      <c r="J16" s="593">
        <f>SUM(J14:J15)</f>
        <v>15860.959999999997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623608.91</v>
      </c>
      <c r="C18" s="596">
        <f>+D18/B18</f>
        <v>0.23431509341327403</v>
      </c>
      <c r="D18" s="595">
        <f>+D12+D16</f>
        <v>146120.98000000001</v>
      </c>
      <c r="E18" s="3"/>
      <c r="F18" s="595">
        <f>+F12+F16</f>
        <v>0</v>
      </c>
      <c r="G18" s="596" t="e">
        <f>+H18/F18</f>
        <v>#DIV/0!</v>
      </c>
      <c r="H18" s="595">
        <f>+H12+H16</f>
        <v>0</v>
      </c>
      <c r="I18" s="3"/>
      <c r="J18" s="595">
        <f>+J12+J16</f>
        <v>146120.98000000001</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623608.91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21" t="s">
        <v>700</v>
      </c>
      <c r="C1" s="1322"/>
      <c r="D1" s="1322"/>
      <c r="E1" s="1322"/>
      <c r="F1" s="1322"/>
      <c r="G1" s="1322"/>
      <c r="H1" s="1322"/>
      <c r="I1" s="1322"/>
      <c r="J1" s="1322"/>
      <c r="K1" s="1322"/>
      <c r="L1" s="1322"/>
      <c r="M1" s="1322"/>
      <c r="N1" s="1322"/>
      <c r="O1" s="1322"/>
      <c r="P1" s="1322"/>
      <c r="Q1" s="1322"/>
      <c r="R1" s="1322"/>
      <c r="S1" s="1322"/>
      <c r="T1" s="132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96</v>
      </c>
      <c r="D5" s="560">
        <f>Print_AAD!L27/Print_AAD!J27</f>
        <v>2752.5111458333345</v>
      </c>
      <c r="E5" s="561">
        <f t="shared" ref="E5:E6" si="0">+C5*D5</f>
        <v>264241.07000000012</v>
      </c>
      <c r="F5" s="3"/>
      <c r="G5" s="231" t="s">
        <v>656</v>
      </c>
      <c r="H5" s="559">
        <f>Print_AAD!J108</f>
        <v>96</v>
      </c>
      <c r="I5" s="560">
        <f>Print_AAD!L108/Print_AAD!J108</f>
        <v>1354.9939583333341</v>
      </c>
      <c r="J5" s="561">
        <f t="shared" ref="J5:J6" si="1">+H5*I5</f>
        <v>130079.42000000007</v>
      </c>
      <c r="K5" s="3"/>
      <c r="L5" s="231" t="s">
        <v>656</v>
      </c>
      <c r="M5" s="560">
        <f>Print_AAD!K194</f>
        <v>568515.26</v>
      </c>
      <c r="N5" s="562">
        <f t="shared" ref="N5:N6" si="2">O5/M5</f>
        <v>0.7036686403105521</v>
      </c>
      <c r="O5" s="560">
        <f>Print_AAD!L194</f>
        <v>400046.36</v>
      </c>
      <c r="P5" s="3"/>
      <c r="Q5" s="231" t="s">
        <v>656</v>
      </c>
      <c r="R5" s="563">
        <f>Print_AAD!J185</f>
        <v>1471</v>
      </c>
      <c r="S5" s="560">
        <f>Print_AAD!K185/Print_AAD!J185</f>
        <v>361.0124949014276</v>
      </c>
      <c r="T5" s="561">
        <f t="shared" ref="T5:T6" si="3">+R5*S5</f>
        <v>531049.38</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96</v>
      </c>
      <c r="D7" s="570" t="e">
        <f t="shared" si="4"/>
        <v>#DIV/0!</v>
      </c>
      <c r="E7" s="571" t="e">
        <f t="shared" si="4"/>
        <v>#DIV/0!</v>
      </c>
      <c r="F7" s="3"/>
      <c r="G7" s="133" t="s">
        <v>655</v>
      </c>
      <c r="H7" s="569">
        <f t="shared" ref="H7:J7" si="5">+H5-H6</f>
        <v>96</v>
      </c>
      <c r="I7" s="570" t="e">
        <f t="shared" si="5"/>
        <v>#DIV/0!</v>
      </c>
      <c r="J7" s="571" t="e">
        <f t="shared" si="5"/>
        <v>#DIV/0!</v>
      </c>
      <c r="K7" s="3"/>
      <c r="L7" s="133" t="s">
        <v>655</v>
      </c>
      <c r="M7" s="570">
        <f t="shared" ref="M7:O7" si="6">+M5-M6</f>
        <v>568515.26</v>
      </c>
      <c r="N7" s="572" t="e">
        <f t="shared" si="6"/>
        <v>#DIV/0!</v>
      </c>
      <c r="O7" s="571">
        <f t="shared" si="6"/>
        <v>400046.36</v>
      </c>
      <c r="P7" s="3"/>
      <c r="Q7" s="133" t="s">
        <v>655</v>
      </c>
      <c r="R7" s="573">
        <f t="shared" ref="R7:T7" si="7">+R5-R6</f>
        <v>1471</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96</v>
      </c>
      <c r="D10" s="561">
        <f t="shared" si="12"/>
        <v>2752.5111458333345</v>
      </c>
      <c r="E10" s="566">
        <f>+C10*D10</f>
        <v>264241.07000000012</v>
      </c>
      <c r="F10" s="3"/>
      <c r="G10" s="133" t="s">
        <v>702</v>
      </c>
      <c r="H10" s="577">
        <f t="shared" ref="H10:I10" si="13">+H5</f>
        <v>96</v>
      </c>
      <c r="I10" s="561">
        <f t="shared" si="13"/>
        <v>1354.9939583333341</v>
      </c>
      <c r="J10" s="566">
        <f>+H10*I10</f>
        <v>130079.42000000007</v>
      </c>
      <c r="K10" s="3"/>
      <c r="L10" s="133" t="s">
        <v>703</v>
      </c>
      <c r="M10" s="561">
        <f t="shared" ref="M10:N10" si="14">+M5</f>
        <v>568515.26</v>
      </c>
      <c r="N10" s="562">
        <f t="shared" si="14"/>
        <v>0.7036686403105521</v>
      </c>
      <c r="O10" s="566">
        <f>+M10*N10</f>
        <v>400046.36</v>
      </c>
      <c r="P10" s="3"/>
      <c r="Q10" s="133" t="s">
        <v>704</v>
      </c>
      <c r="R10" s="578">
        <f t="shared" ref="R10:S10" si="15">+R5</f>
        <v>1471</v>
      </c>
      <c r="S10" s="561">
        <f t="shared" si="15"/>
        <v>361.0124949014276</v>
      </c>
      <c r="T10" s="566">
        <f>+R10*S10</f>
        <v>531049.38</v>
      </c>
      <c r="U10" s="3"/>
      <c r="V10" s="3"/>
      <c r="W10" s="3"/>
      <c r="X10" s="3"/>
      <c r="Y10" s="3"/>
      <c r="Z10" s="3"/>
    </row>
    <row r="11" spans="1:26">
      <c r="A11" s="3"/>
      <c r="B11" s="133" t="s">
        <v>663</v>
      </c>
      <c r="C11" s="577">
        <f>+C5</f>
        <v>96</v>
      </c>
      <c r="D11" s="566" t="e">
        <f>+D6</f>
        <v>#DIV/0!</v>
      </c>
      <c r="E11" s="566" t="e">
        <f>C11*D11</f>
        <v>#DIV/0!</v>
      </c>
      <c r="F11" s="3"/>
      <c r="G11" s="133" t="s">
        <v>663</v>
      </c>
      <c r="H11" s="577">
        <f>+H5</f>
        <v>96</v>
      </c>
      <c r="I11" s="566" t="e">
        <f>+I6</f>
        <v>#DIV/0!</v>
      </c>
      <c r="J11" s="566" t="e">
        <f>H11*I11</f>
        <v>#DIV/0!</v>
      </c>
      <c r="K11" s="3"/>
      <c r="L11" s="133" t="s">
        <v>663</v>
      </c>
      <c r="M11" s="561">
        <f>+M5</f>
        <v>568515.26</v>
      </c>
      <c r="N11" s="567" t="e">
        <f>+N6</f>
        <v>#DIV/0!</v>
      </c>
      <c r="O11" s="566" t="e">
        <f>M11*N11</f>
        <v>#DIV/0!</v>
      </c>
      <c r="P11" s="3"/>
      <c r="Q11" s="133" t="s">
        <v>664</v>
      </c>
      <c r="R11" s="578">
        <f>+R5</f>
        <v>1471</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96</v>
      </c>
      <c r="D15" s="566" t="e">
        <f>+D6</f>
        <v>#DIV/0!</v>
      </c>
      <c r="E15" s="566" t="e">
        <f>+C15*D15</f>
        <v>#DIV/0!</v>
      </c>
      <c r="F15" s="3"/>
      <c r="G15" s="133" t="s">
        <v>706</v>
      </c>
      <c r="H15" s="577">
        <f t="shared" ref="H15:H16" si="21">+H5</f>
        <v>96</v>
      </c>
      <c r="I15" s="566" t="e">
        <f>+I6</f>
        <v>#DIV/0!</v>
      </c>
      <c r="J15" s="566" t="e">
        <f>+H15*I15</f>
        <v>#DIV/0!</v>
      </c>
      <c r="K15" s="3"/>
      <c r="L15" s="133" t="s">
        <v>707</v>
      </c>
      <c r="M15" s="561">
        <f t="shared" ref="M15:M16" si="22">+M5</f>
        <v>568515.26</v>
      </c>
      <c r="N15" s="567" t="e">
        <f>+N6</f>
        <v>#DIV/0!</v>
      </c>
      <c r="O15" s="566" t="e">
        <f>+M15*N15</f>
        <v>#DIV/0!</v>
      </c>
      <c r="P15" s="3"/>
      <c r="Q15" s="133" t="s">
        <v>708</v>
      </c>
      <c r="R15" s="578">
        <f t="shared" ref="R15:R16" si="23">+R5</f>
        <v>1471</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96</v>
      </c>
      <c r="D17" s="570" t="e">
        <f t="shared" si="24"/>
        <v>#DIV/0!</v>
      </c>
      <c r="E17" s="571" t="e">
        <f t="shared" si="24"/>
        <v>#DIV/0!</v>
      </c>
      <c r="F17" s="3"/>
      <c r="G17" s="133" t="s">
        <v>665</v>
      </c>
      <c r="H17" s="569">
        <f t="shared" ref="H17:J17" si="25">+H15-H16</f>
        <v>96</v>
      </c>
      <c r="I17" s="570" t="e">
        <f t="shared" si="25"/>
        <v>#DIV/0!</v>
      </c>
      <c r="J17" s="571" t="e">
        <f t="shared" si="25"/>
        <v>#DIV/0!</v>
      </c>
      <c r="K17" s="3"/>
      <c r="L17" s="133" t="s">
        <v>665</v>
      </c>
      <c r="M17" s="570">
        <f t="shared" ref="M17:O17" si="26">+M15-M16</f>
        <v>568515.26</v>
      </c>
      <c r="N17" s="572" t="e">
        <f t="shared" si="26"/>
        <v>#DIV/0!</v>
      </c>
      <c r="O17" s="571" t="e">
        <f t="shared" si="26"/>
        <v>#DIV/0!</v>
      </c>
      <c r="P17" s="3"/>
      <c r="Q17" s="133" t="s">
        <v>665</v>
      </c>
      <c r="R17" s="573">
        <f t="shared" ref="R17:T17" si="27">+R15-R16</f>
        <v>1471</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96</v>
      </c>
      <c r="D20" s="566" t="e">
        <f t="shared" si="28"/>
        <v>#DIV/0!</v>
      </c>
      <c r="E20" s="566" t="e">
        <f>+C20*D20</f>
        <v>#DIV/0!</v>
      </c>
      <c r="F20" s="3"/>
      <c r="G20" s="133" t="s">
        <v>672</v>
      </c>
      <c r="H20" s="579">
        <f t="shared" ref="H20:I20" si="29">MAX(H5:H6)</f>
        <v>96</v>
      </c>
      <c r="I20" s="566" t="e">
        <f t="shared" si="29"/>
        <v>#DIV/0!</v>
      </c>
      <c r="J20" s="566" t="e">
        <f>+H20*I20</f>
        <v>#DIV/0!</v>
      </c>
      <c r="K20" s="3"/>
      <c r="L20" s="133" t="s">
        <v>672</v>
      </c>
      <c r="M20" s="566">
        <f t="shared" ref="M20:N20" si="30">MAX(M5:M6)</f>
        <v>568515.26</v>
      </c>
      <c r="N20" s="567" t="e">
        <f t="shared" si="30"/>
        <v>#DIV/0!</v>
      </c>
      <c r="O20" s="566" t="e">
        <f>+M20*N20</f>
        <v>#DIV/0!</v>
      </c>
      <c r="P20" s="3"/>
      <c r="Q20" s="133" t="s">
        <v>672</v>
      </c>
      <c r="R20" s="580">
        <f t="shared" ref="R20:S20" si="31">MAX(R5:R6)</f>
        <v>1471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96</v>
      </c>
      <c r="D23" s="570" t="e">
        <f t="shared" si="36"/>
        <v>#DIV/0!</v>
      </c>
      <c r="E23" s="570" t="e">
        <f t="shared" si="36"/>
        <v>#DIV/0!</v>
      </c>
      <c r="F23" s="3"/>
      <c r="G23" s="133" t="s">
        <v>674</v>
      </c>
      <c r="H23" s="569">
        <f t="shared" ref="H23:J23" si="37">+H20-H22</f>
        <v>96</v>
      </c>
      <c r="I23" s="570" t="e">
        <f t="shared" si="37"/>
        <v>#DIV/0!</v>
      </c>
      <c r="J23" s="570" t="e">
        <f t="shared" si="37"/>
        <v>#DIV/0!</v>
      </c>
      <c r="K23" s="3"/>
      <c r="L23" s="133" t="s">
        <v>674</v>
      </c>
      <c r="M23" s="570">
        <f t="shared" ref="M23:O23" si="38">+M20-M22</f>
        <v>568515.26</v>
      </c>
      <c r="N23" s="572" t="e">
        <f t="shared" si="38"/>
        <v>#DIV/0!</v>
      </c>
      <c r="O23" s="570" t="e">
        <f t="shared" si="38"/>
        <v>#DIV/0!</v>
      </c>
      <c r="P23" s="3"/>
      <c r="Q23" s="133" t="s">
        <v>674</v>
      </c>
      <c r="R23" s="573">
        <f t="shared" ref="R23:T23" si="39">+R20-R22</f>
        <v>1471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96</v>
      </c>
      <c r="D32" s="566">
        <f t="shared" ref="D32:D33" si="40">+E32/C32</f>
        <v>80.742622910108821</v>
      </c>
      <c r="E32" s="566">
        <f>+Print_AAD!N78</f>
        <v>7751.2917993704468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96</v>
      </c>
      <c r="D33" s="566">
        <f t="shared" si="40"/>
        <v>-21.176562499999971</v>
      </c>
      <c r="E33" s="566">
        <f>+Print_AAD!N82</f>
        <v>-2032.9499999999971</v>
      </c>
      <c r="F33" s="3"/>
      <c r="G33" s="133" t="s">
        <v>681</v>
      </c>
      <c r="H33" s="588">
        <f>+H17</f>
        <v>96</v>
      </c>
      <c r="I33" s="566">
        <f>+J33/H33</f>
        <v>-51.138020833333336</v>
      </c>
      <c r="J33" s="566">
        <f>+Print_AAD!N159</f>
        <v>-4909.25</v>
      </c>
      <c r="K33" s="3"/>
      <c r="L33" s="3"/>
      <c r="M33" s="3"/>
      <c r="N33" s="3"/>
      <c r="O33" s="3"/>
      <c r="P33" s="3"/>
      <c r="Q33" s="3"/>
      <c r="R33" s="3"/>
      <c r="S33" s="3"/>
      <c r="T33" s="3"/>
      <c r="U33" s="3"/>
      <c r="V33" s="3"/>
      <c r="W33" s="3"/>
      <c r="X33" s="3"/>
      <c r="Y33" s="3"/>
      <c r="Z33" s="3"/>
    </row>
    <row r="34" spans="1:26" ht="15.75" customHeight="1">
      <c r="A34" s="3"/>
      <c r="B34" s="3"/>
      <c r="C34" s="3"/>
      <c r="D34" s="3"/>
      <c r="E34" s="570">
        <f>SUM(E32:E33)</f>
        <v>5718.3417993704497</v>
      </c>
      <c r="F34" s="3"/>
      <c r="G34" s="3"/>
      <c r="H34" s="3"/>
      <c r="I34" s="3"/>
      <c r="J34" s="570">
        <f>SUM(J32:J33)</f>
        <v>-4909.25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24" t="s">
        <v>682</v>
      </c>
      <c r="C2" s="1325"/>
      <c r="D2" s="1326"/>
      <c r="E2" s="3"/>
      <c r="F2" s="1324" t="s">
        <v>683</v>
      </c>
      <c r="G2" s="1325"/>
      <c r="H2" s="132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145054.24000000002</v>
      </c>
      <c r="C4" s="590">
        <f t="shared" ref="C4:C9" si="0">D4/B4</f>
        <v>0.37212617845572804</v>
      </c>
      <c r="D4" s="565">
        <f>+Print_AAD!L295</f>
        <v>53978.48000000001</v>
      </c>
      <c r="E4" s="3"/>
      <c r="F4" s="565">
        <f>+Print_AAD!G295</f>
        <v>0</v>
      </c>
      <c r="G4" s="590" t="e">
        <f t="shared" ref="G4:G9" si="1">H4/F4</f>
        <v>#DIV/0!</v>
      </c>
      <c r="H4" s="565">
        <f>+Print_AAD!I295</f>
        <v>0</v>
      </c>
      <c r="I4" s="3"/>
      <c r="J4" s="566">
        <f t="shared" ref="J4:J11" si="2">+D4-H4</f>
        <v>53978.48000000001</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161843.47000000003</v>
      </c>
      <c r="C5" s="590">
        <f t="shared" si="0"/>
        <v>0.23365724919269232</v>
      </c>
      <c r="D5" s="565">
        <f>+Print_AAD!L296</f>
        <v>37815.900000000031</v>
      </c>
      <c r="E5" s="3"/>
      <c r="F5" s="565">
        <f>+Print_AAD!G296</f>
        <v>0</v>
      </c>
      <c r="G5" s="590" t="e">
        <f t="shared" si="1"/>
        <v>#DIV/0!</v>
      </c>
      <c r="H5" s="565">
        <f>+Print_AAD!I296</f>
        <v>0</v>
      </c>
      <c r="I5" s="3"/>
      <c r="J5" s="566">
        <f t="shared" si="2"/>
        <v>37815.900000000031</v>
      </c>
      <c r="K5" s="3"/>
      <c r="L5" s="566" t="e">
        <f t="shared" si="3"/>
        <v>#DIV/0!</v>
      </c>
      <c r="M5" s="3"/>
      <c r="N5" s="566" t="e">
        <f t="shared" si="4"/>
        <v>#DIV/0!</v>
      </c>
      <c r="O5" s="3"/>
      <c r="P5" s="3"/>
      <c r="Q5" s="3"/>
      <c r="R5" s="3"/>
      <c r="S5" s="3"/>
      <c r="T5" s="3"/>
      <c r="U5" s="3"/>
      <c r="V5" s="3"/>
      <c r="W5" s="3"/>
      <c r="X5" s="3"/>
      <c r="Y5" s="3"/>
      <c r="Z5" s="3"/>
    </row>
    <row r="6" spans="1:26">
      <c r="A6" s="3" t="s">
        <v>184</v>
      </c>
      <c r="B6" s="565">
        <f>+Print_AAD!J297</f>
        <v>205724.63</v>
      </c>
      <c r="C6" s="590">
        <f t="shared" si="0"/>
        <v>0.23219125488280129</v>
      </c>
      <c r="D6" s="565">
        <f>+Print_AAD!L297</f>
        <v>47767.459999999992</v>
      </c>
      <c r="E6" s="3"/>
      <c r="F6" s="565">
        <f>+Print_AAD!G297</f>
        <v>0</v>
      </c>
      <c r="G6" s="590" t="e">
        <f t="shared" si="1"/>
        <v>#DIV/0!</v>
      </c>
      <c r="H6" s="565">
        <f>+Print_AAD!I297</f>
        <v>0</v>
      </c>
      <c r="I6" s="3"/>
      <c r="J6" s="566">
        <f t="shared" si="2"/>
        <v>47767.459999999992</v>
      </c>
      <c r="K6" s="3"/>
      <c r="L6" s="566" t="e">
        <f t="shared" si="3"/>
        <v>#DIV/0!</v>
      </c>
      <c r="M6" s="3"/>
      <c r="N6" s="566" t="e">
        <f t="shared" si="4"/>
        <v>#DIV/0!</v>
      </c>
      <c r="O6" s="3"/>
      <c r="P6" s="3"/>
      <c r="Q6" s="3"/>
      <c r="R6" s="3"/>
      <c r="S6" s="3"/>
      <c r="T6" s="3"/>
      <c r="U6" s="3"/>
      <c r="V6" s="3"/>
      <c r="W6" s="3"/>
      <c r="X6" s="3"/>
      <c r="Y6" s="3"/>
      <c r="Z6" s="3"/>
    </row>
    <row r="7" spans="1:26">
      <c r="A7" s="3" t="s">
        <v>185</v>
      </c>
      <c r="B7" s="565">
        <f>+Print_AAD!J298</f>
        <v>127363.93</v>
      </c>
      <c r="C7" s="590">
        <f t="shared" si="0"/>
        <v>0.2900873897342835</v>
      </c>
      <c r="D7" s="565">
        <f>+Print_AAD!L298</f>
        <v>36946.67</v>
      </c>
      <c r="E7" s="3"/>
      <c r="F7" s="565">
        <f>+Print_AAD!G298</f>
        <v>0</v>
      </c>
      <c r="G7" s="590" t="e">
        <f t="shared" si="1"/>
        <v>#DIV/0!</v>
      </c>
      <c r="H7" s="565">
        <f>+Print_AAD!I298</f>
        <v>0</v>
      </c>
      <c r="I7" s="3"/>
      <c r="J7" s="566">
        <f t="shared" si="2"/>
        <v>36946.67</v>
      </c>
      <c r="K7" s="3"/>
      <c r="L7" s="566" t="e">
        <f t="shared" si="3"/>
        <v>#DIV/0!</v>
      </c>
      <c r="M7" s="3"/>
      <c r="N7" s="566" t="e">
        <f t="shared" si="4"/>
        <v>#DIV/0!</v>
      </c>
      <c r="O7" s="3"/>
      <c r="P7" s="3"/>
      <c r="Q7" s="3"/>
      <c r="R7" s="3"/>
      <c r="S7" s="3"/>
      <c r="T7" s="3"/>
      <c r="U7" s="3"/>
      <c r="V7" s="3"/>
      <c r="W7" s="3"/>
      <c r="X7" s="3"/>
      <c r="Y7" s="3"/>
      <c r="Z7" s="3"/>
    </row>
    <row r="8" spans="1:26">
      <c r="A8" s="3" t="s">
        <v>186</v>
      </c>
      <c r="B8" s="565">
        <f>+Print_AAD!J299</f>
        <v>21384.39</v>
      </c>
      <c r="C8" s="590">
        <f t="shared" si="0"/>
        <v>0.31099507631501289</v>
      </c>
      <c r="D8" s="565">
        <f>+Print_AAD!L299</f>
        <v>6650.4399999999987</v>
      </c>
      <c r="E8" s="3"/>
      <c r="F8" s="565">
        <f>+Print_AAD!G299</f>
        <v>0</v>
      </c>
      <c r="G8" s="590" t="e">
        <f t="shared" si="1"/>
        <v>#DIV/0!</v>
      </c>
      <c r="H8" s="565">
        <f>+Print_AAD!I299</f>
        <v>0</v>
      </c>
      <c r="I8" s="3"/>
      <c r="J8" s="566">
        <f t="shared" si="2"/>
        <v>6650.4399999999987</v>
      </c>
      <c r="K8" s="3"/>
      <c r="L8" s="566" t="e">
        <f t="shared" si="3"/>
        <v>#DIV/0!</v>
      </c>
      <c r="M8" s="3"/>
      <c r="N8" s="566" t="e">
        <f t="shared" si="4"/>
        <v>#DIV/0!</v>
      </c>
      <c r="O8" s="3"/>
      <c r="P8" s="3"/>
      <c r="Q8" s="3"/>
      <c r="R8" s="3"/>
      <c r="S8" s="3"/>
      <c r="T8" s="3"/>
      <c r="U8" s="3"/>
      <c r="V8" s="3"/>
      <c r="W8" s="3"/>
      <c r="X8" s="3"/>
      <c r="Y8" s="3"/>
      <c r="Z8" s="3"/>
    </row>
    <row r="9" spans="1:26">
      <c r="A9" s="3" t="s">
        <v>187</v>
      </c>
      <c r="B9" s="565">
        <f>+Print_AAD!J300</f>
        <v>479293.16</v>
      </c>
      <c r="C9" s="590">
        <f t="shared" si="0"/>
        <v>0.15090707741374815</v>
      </c>
      <c r="D9" s="565">
        <f>+Print_AAD!L300</f>
        <v>72328.729999999967</v>
      </c>
      <c r="E9" s="3"/>
      <c r="F9" s="565">
        <f>+Print_AAD!G300</f>
        <v>0</v>
      </c>
      <c r="G9" s="590" t="e">
        <f t="shared" si="1"/>
        <v>#DIV/0!</v>
      </c>
      <c r="H9" s="565">
        <f>+Print_AAD!I300</f>
        <v>0</v>
      </c>
      <c r="I9" s="3"/>
      <c r="J9" s="566">
        <f t="shared" si="2"/>
        <v>72328.729999999967</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12091.96</v>
      </c>
      <c r="E10" s="3"/>
      <c r="F10" s="565"/>
      <c r="G10" s="590"/>
      <c r="H10" s="565">
        <f>+Print_AAD!I302</f>
        <v>0</v>
      </c>
      <c r="I10" s="3"/>
      <c r="J10" s="566">
        <f t="shared" si="2"/>
        <v>12091.96</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1140663.82</v>
      </c>
      <c r="C12" s="592">
        <f>+D12/B12</f>
        <v>0.23458238554458577</v>
      </c>
      <c r="D12" s="591">
        <f>SUM(D4:D11)</f>
        <v>267579.64</v>
      </c>
      <c r="E12" s="3"/>
      <c r="F12" s="591">
        <f>SUM(F4:F11)</f>
        <v>0</v>
      </c>
      <c r="G12" s="592" t="e">
        <f>+H12/F12</f>
        <v>#DIV/0!</v>
      </c>
      <c r="H12" s="591">
        <f>SUM(H4:H11)</f>
        <v>0</v>
      </c>
      <c r="I12" s="3"/>
      <c r="J12" s="591">
        <f>SUM(J4:J11)</f>
        <v>267579.64</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123944.06</v>
      </c>
      <c r="C14" s="590">
        <f t="shared" ref="C14:C15" si="6">D14/B14</f>
        <v>0.19266304492526712</v>
      </c>
      <c r="D14" s="565">
        <f>+Print_AAD!L307</f>
        <v>23879.440000000002</v>
      </c>
      <c r="E14" s="3"/>
      <c r="F14" s="565">
        <f>+Print_AAD!G307</f>
        <v>0</v>
      </c>
      <c r="G14" s="590" t="e">
        <f t="shared" ref="G14:G15" si="7">H14/F14</f>
        <v>#DIV/0!</v>
      </c>
      <c r="H14" s="565">
        <f>+Print_AAD!I307</f>
        <v>0</v>
      </c>
      <c r="I14" s="3"/>
      <c r="J14" s="566">
        <f t="shared" ref="J14:J15" si="8">+D14-H14</f>
        <v>23879.440000000002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31984.27</v>
      </c>
      <c r="C15" s="590">
        <f t="shared" si="6"/>
        <v>0.28070736021175413</v>
      </c>
      <c r="D15" s="565">
        <f>+Print_AAD!L308</f>
        <v>8978.2200000000012</v>
      </c>
      <c r="E15" s="3"/>
      <c r="F15" s="565">
        <f>+Print_AAD!G308</f>
        <v>0</v>
      </c>
      <c r="G15" s="590" t="e">
        <f t="shared" si="7"/>
        <v>#DIV/0!</v>
      </c>
      <c r="H15" s="565">
        <f>+Print_AAD!I308</f>
        <v>0</v>
      </c>
      <c r="I15" s="3"/>
      <c r="J15" s="566">
        <f t="shared" si="8"/>
        <v>8978.2200000000012</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155928.32999999999</v>
      </c>
      <c r="C16" s="594">
        <f>+D16/B16</f>
        <v>0.21072283657498292</v>
      </c>
      <c r="D16" s="593">
        <f>SUM(D14:D15)</f>
        <v>32857.660000000003</v>
      </c>
      <c r="E16" s="3"/>
      <c r="F16" s="593">
        <f>SUM(F14:F15)</f>
        <v>0</v>
      </c>
      <c r="G16" s="594" t="e">
        <f>+H16/F16</f>
        <v>#DIV/0!</v>
      </c>
      <c r="H16" s="593">
        <f>SUM(H14:H15)</f>
        <v>0</v>
      </c>
      <c r="I16" s="3"/>
      <c r="J16" s="593">
        <f>SUM(J14:J15)</f>
        <v>32857.660000000003</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1296592.1500000001</v>
      </c>
      <c r="C18" s="596">
        <f>+D18/B18</f>
        <v>0.23171303327727227</v>
      </c>
      <c r="D18" s="595">
        <f>+D12+D16</f>
        <v>300437.30000000005</v>
      </c>
      <c r="E18" s="3"/>
      <c r="F18" s="595">
        <f>+F12+F16</f>
        <v>0</v>
      </c>
      <c r="G18" s="596" t="e">
        <f>+H18/F18</f>
        <v>#DIV/0!</v>
      </c>
      <c r="H18" s="595">
        <f>+H12+H16</f>
        <v>0</v>
      </c>
      <c r="I18" s="3"/>
      <c r="J18" s="595">
        <f>+J12+J16</f>
        <v>300437.30000000005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1296592.1500000001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52"/>
  <sheetViews>
    <sheetView topLeftCell="A415" zoomScale="80" zoomScaleNormal="80" workbookViewId="0">
      <selection activeCell="A447" sqref="A447:XFD448"/>
    </sheetView>
  </sheetViews>
  <sheetFormatPr baseColWidth="10" defaultColWidth="12.625" defaultRowHeight="15" customHeight="1"/>
  <cols>
    <col min="1" max="1" width="37" style="965" customWidth="1"/>
    <col min="2" max="2" width="31.25" style="965" customWidth="1"/>
    <col min="3" max="3" width="14.625" style="965" customWidth="1"/>
    <col min="4" max="4" width="12.875" style="965" customWidth="1"/>
    <col min="5" max="5" width="13.625" style="965" bestFit="1" customWidth="1"/>
    <col min="6" max="8" width="12.875" style="965" customWidth="1"/>
    <col min="9" max="9" width="25.625" style="965" bestFit="1" customWidth="1"/>
    <col min="10" max="10" width="12.875" style="965" customWidth="1"/>
    <col min="11" max="11" width="23.125" style="96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327" t="s">
        <v>251</v>
      </c>
      <c r="B1" s="1327" t="s">
        <v>709</v>
      </c>
      <c r="C1" s="1328" t="s">
        <v>713</v>
      </c>
      <c r="D1" s="1328" t="s">
        <v>714</v>
      </c>
      <c r="E1" s="1328" t="s">
        <v>715</v>
      </c>
      <c r="F1" s="1327" t="s">
        <v>710</v>
      </c>
      <c r="G1" s="1327" t="s">
        <v>711</v>
      </c>
      <c r="H1" s="1327" t="s">
        <v>712</v>
      </c>
      <c r="I1" s="1328" t="s">
        <v>3411</v>
      </c>
      <c r="J1" s="1328" t="s">
        <v>3412</v>
      </c>
      <c r="K1" s="1328"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329" t="s">
        <v>720</v>
      </c>
      <c r="B2" s="1329" t="s">
        <v>1438</v>
      </c>
      <c r="C2" s="1330"/>
      <c r="D2" s="1330"/>
      <c r="E2" s="1330"/>
      <c r="F2" s="1329" t="s">
        <v>2</v>
      </c>
      <c r="G2" s="1329" t="s">
        <v>3321</v>
      </c>
      <c r="H2" s="1329" t="s">
        <v>3942</v>
      </c>
      <c r="I2" s="1331">
        <v>-34367.08</v>
      </c>
      <c r="J2" s="1331">
        <v>0</v>
      </c>
      <c r="K2" s="1331">
        <v>-34367.08</v>
      </c>
      <c r="L2" s="653" t="str">
        <f>TEXT(B2,0)</f>
        <v>10</v>
      </c>
      <c r="M2" s="654" t="str">
        <f t="shared" ref="M2:M179" si="0">+A2</f>
        <v>PROFIT/PERTES JANVIER</v>
      </c>
      <c r="N2" s="655">
        <f>+IF(OR($Q2=Parametres!$G$2,$Q2=Parametres!$G$3),I2,C2)</f>
        <v>-34367.08</v>
      </c>
      <c r="O2" s="655">
        <f>+IF(OR($Q2=Parametres!$G$2,$Q2=Parametres!$G$3),J2,D2)</f>
        <v>0</v>
      </c>
      <c r="P2" s="655">
        <f>+IF(OR($Q2=Parametres!$G$2,$Q2=Parametres!$G$3),K2,E2)</f>
        <v>-34367.08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329" t="s">
        <v>732</v>
      </c>
      <c r="B3" s="1329" t="s">
        <v>1674</v>
      </c>
      <c r="C3" s="1330"/>
      <c r="D3" s="1330"/>
      <c r="E3" s="1330"/>
      <c r="F3" s="1329" t="s">
        <v>2</v>
      </c>
      <c r="G3" s="1329" t="s">
        <v>3322</v>
      </c>
      <c r="H3" s="1329" t="s">
        <v>3942</v>
      </c>
      <c r="I3" s="1331">
        <v>0.42</v>
      </c>
      <c r="J3" s="1331">
        <v>0</v>
      </c>
      <c r="K3" s="1331">
        <v>0.42</v>
      </c>
      <c r="L3" s="653" t="str">
        <f t="shared" ref="L3:L66" si="2">TEXT(B3,0)</f>
        <v>229</v>
      </c>
      <c r="M3" s="654" t="str">
        <f t="shared" si="0"/>
        <v>CUMUL. VIS. CARR. VW</v>
      </c>
      <c r="N3" s="655">
        <f>+IF(OR($Q3=Parametres!$G$2,$Q3=Parametres!$G$3),I3,C3)</f>
        <v>0.42</v>
      </c>
      <c r="O3" s="655">
        <f>+IF(OR($Q3=Parametres!$G$2,$Q3=Parametres!$G$3),J3,D3)</f>
        <v>0</v>
      </c>
      <c r="P3" s="655">
        <f>+IF(OR($Q3=Parametres!$G$2,$Q3=Parametres!$G$3),K3,E3)</f>
        <v>0.42</v>
      </c>
      <c r="Q3" s="654" t="str">
        <f t="shared" ref="Q3:S3" si="3">+F3</f>
        <v>1-Mémo</v>
      </c>
      <c r="R3" s="653" t="str">
        <f t="shared" si="3"/>
        <v>23</v>
      </c>
      <c r="S3" s="654" t="str">
        <f t="shared" si="3"/>
        <v>_</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329" t="s">
        <v>733</v>
      </c>
      <c r="B4" s="1329" t="s">
        <v>1690</v>
      </c>
      <c r="C4" s="1330"/>
      <c r="D4" s="1330"/>
      <c r="E4" s="1330"/>
      <c r="F4" s="1329" t="s">
        <v>2</v>
      </c>
      <c r="G4" s="1329" t="s">
        <v>3322</v>
      </c>
      <c r="H4" s="1329" t="s">
        <v>3942</v>
      </c>
      <c r="I4" s="1331">
        <v>7.19</v>
      </c>
      <c r="J4" s="1331">
        <v>0</v>
      </c>
      <c r="K4" s="1331">
        <v>7.19</v>
      </c>
      <c r="L4" s="653" t="str">
        <f t="shared" si="2"/>
        <v>230</v>
      </c>
      <c r="M4" s="654" t="str">
        <f t="shared" si="0"/>
        <v>CUMUL. VIS. VEH. SERV. VW</v>
      </c>
      <c r="N4" s="655">
        <f>+IF(OR($Q4=Parametres!$G$2,$Q4=Parametres!$G$3),I4,C4)</f>
        <v>7.19</v>
      </c>
      <c r="O4" s="655">
        <f>+IF(OR($Q4=Parametres!$G$2,$Q4=Parametres!$G$3),J4,D4)</f>
        <v>0</v>
      </c>
      <c r="P4" s="655">
        <f>+IF(OR($Q4=Parametres!$G$2,$Q4=Parametres!$G$3),K4,E4)</f>
        <v>7.19</v>
      </c>
      <c r="Q4" s="654" t="str">
        <f t="shared" ref="Q4:S4" si="4">+F4</f>
        <v>1-Mémo</v>
      </c>
      <c r="R4" s="653" t="str">
        <f t="shared" si="4"/>
        <v>23</v>
      </c>
      <c r="S4" s="654" t="str">
        <f t="shared" si="4"/>
        <v>_</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329" t="s">
        <v>734</v>
      </c>
      <c r="B5" s="1329" t="s">
        <v>1698</v>
      </c>
      <c r="C5" s="1330"/>
      <c r="D5" s="1330"/>
      <c r="E5" s="1330"/>
      <c r="F5" s="1329" t="s">
        <v>2</v>
      </c>
      <c r="G5" s="1329" t="s">
        <v>3322</v>
      </c>
      <c r="H5" s="1329" t="s">
        <v>3942</v>
      </c>
      <c r="I5" s="1331">
        <v>20.64</v>
      </c>
      <c r="J5" s="1331">
        <v>0</v>
      </c>
      <c r="K5" s="1331">
        <v>20.64</v>
      </c>
      <c r="L5" s="653" t="str">
        <f t="shared" si="2"/>
        <v>234</v>
      </c>
      <c r="M5" s="654" t="str">
        <f t="shared" si="0"/>
        <v>TOTAL HRES PROD. SERVICE</v>
      </c>
      <c r="N5" s="655">
        <f>+IF(OR($Q5=Parametres!$G$2,$Q5=Parametres!$G$3),I5,C5)</f>
        <v>20.64</v>
      </c>
      <c r="O5" s="655">
        <f>+IF(OR($Q5=Parametres!$G$2,$Q5=Parametres!$G$3),J5,D5)</f>
        <v>0</v>
      </c>
      <c r="P5" s="655">
        <f>+IF(OR($Q5=Parametres!$G$2,$Q5=Parametres!$G$3),K5,E5)</f>
        <v>20.64</v>
      </c>
      <c r="Q5" s="654" t="str">
        <f t="shared" ref="Q5:S5" si="5">+F5</f>
        <v>1-Mémo</v>
      </c>
      <c r="R5" s="653" t="str">
        <f t="shared" si="5"/>
        <v>23</v>
      </c>
      <c r="S5" s="654" t="str">
        <f t="shared" si="5"/>
        <v>_</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329" t="s">
        <v>735</v>
      </c>
      <c r="B6" s="1329" t="s">
        <v>1710</v>
      </c>
      <c r="C6" s="1330"/>
      <c r="D6" s="1330"/>
      <c r="E6" s="1330"/>
      <c r="F6" s="1329" t="s">
        <v>2</v>
      </c>
      <c r="G6" s="1329" t="s">
        <v>3322</v>
      </c>
      <c r="H6" s="1329" t="s">
        <v>3942</v>
      </c>
      <c r="I6" s="1331">
        <v>21.1</v>
      </c>
      <c r="J6" s="1331">
        <v>0</v>
      </c>
      <c r="K6" s="1331">
        <v>21.1</v>
      </c>
      <c r="L6" s="653" t="str">
        <f t="shared" si="2"/>
        <v>236</v>
      </c>
      <c r="M6" s="654" t="str">
        <f t="shared" si="0"/>
        <v>HEURES VENDU VW - SERVICE</v>
      </c>
      <c r="N6" s="655">
        <f>+IF(OR($Q6=Parametres!$G$2,$Q6=Parametres!$G$3),I6,C6)</f>
        <v>21.1</v>
      </c>
      <c r="O6" s="655">
        <f>+IF(OR($Q6=Parametres!$G$2,$Q6=Parametres!$G$3),J6,D6)</f>
        <v>0</v>
      </c>
      <c r="P6" s="655">
        <f>+IF(OR($Q6=Parametres!$G$2,$Q6=Parametres!$G$3),K6,E6)</f>
        <v>21.1</v>
      </c>
      <c r="Q6" s="654" t="str">
        <f t="shared" ref="Q6:S6" si="6">+F6</f>
        <v>1-Mémo</v>
      </c>
      <c r="R6" s="653" t="str">
        <f t="shared" si="6"/>
        <v>23</v>
      </c>
      <c r="S6" s="654" t="str">
        <f t="shared" si="6"/>
        <v>_</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329" t="s">
        <v>736</v>
      </c>
      <c r="B7" s="1329" t="s">
        <v>1713</v>
      </c>
      <c r="C7" s="1330"/>
      <c r="D7" s="1330"/>
      <c r="E7" s="1330"/>
      <c r="F7" s="1329" t="s">
        <v>2</v>
      </c>
      <c r="G7" s="1329" t="s">
        <v>3322</v>
      </c>
      <c r="H7" s="1329" t="s">
        <v>3942</v>
      </c>
      <c r="I7" s="1331">
        <v>22.51</v>
      </c>
      <c r="J7" s="1331">
        <v>0</v>
      </c>
      <c r="K7" s="1331">
        <v>22.51</v>
      </c>
      <c r="L7" s="653" t="str">
        <f t="shared" si="2"/>
        <v>238</v>
      </c>
      <c r="M7" s="654" t="str">
        <f t="shared" si="0"/>
        <v>TOT. HEURES DISP. SERVICE</v>
      </c>
      <c r="N7" s="655">
        <f>+IF(OR($Q7=Parametres!$G$2,$Q7=Parametres!$G$3),I7,C7)</f>
        <v>22.51</v>
      </c>
      <c r="O7" s="655">
        <f>+IF(OR($Q7=Parametres!$G$2,$Q7=Parametres!$G$3),J7,D7)</f>
        <v>0</v>
      </c>
      <c r="P7" s="655">
        <f>+IF(OR($Q7=Parametres!$G$2,$Q7=Parametres!$G$3),K7,E7)</f>
        <v>22.51</v>
      </c>
      <c r="Q7" s="654" t="str">
        <f t="shared" ref="Q7:S7" si="7">+F7</f>
        <v>1-Mémo</v>
      </c>
      <c r="R7" s="653" t="str">
        <f t="shared" si="7"/>
        <v>23</v>
      </c>
      <c r="S7" s="654" t="str">
        <f t="shared" si="7"/>
        <v>_</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329" t="s">
        <v>3657</v>
      </c>
      <c r="B8" s="1329" t="s">
        <v>1718</v>
      </c>
      <c r="C8" s="1330"/>
      <c r="D8" s="1330"/>
      <c r="E8" s="1330"/>
      <c r="F8" s="1329" t="s">
        <v>2</v>
      </c>
      <c r="G8" s="1329" t="s">
        <v>3323</v>
      </c>
      <c r="H8" s="1329" t="s">
        <v>3942</v>
      </c>
      <c r="I8" s="1331">
        <v>169.95</v>
      </c>
      <c r="J8" s="1331">
        <v>0</v>
      </c>
      <c r="K8" s="1331">
        <v>169.95</v>
      </c>
      <c r="L8" s="653" t="str">
        <f t="shared" si="2"/>
        <v>243</v>
      </c>
      <c r="M8" s="654" t="str">
        <f t="shared" si="0"/>
        <v>TAUX MAIN D'OEUVRE - VW - MCI - CLIENT</v>
      </c>
      <c r="N8" s="655">
        <f>+IF(OR($Q8=Parametres!$G$2,$Q8=Parametres!$G$3),I8,C8)</f>
        <v>169.95</v>
      </c>
      <c r="O8" s="655">
        <f>+IF(OR($Q8=Parametres!$G$2,$Q8=Parametres!$G$3),J8,D8)</f>
        <v>0</v>
      </c>
      <c r="P8" s="655">
        <f>+IF(OR($Q8=Parametres!$G$2,$Q8=Parametres!$G$3),K8,E8)</f>
        <v>169.95</v>
      </c>
      <c r="Q8" s="654" t="str">
        <f t="shared" ref="Q8:S8" si="8">+F8</f>
        <v>1-Mémo</v>
      </c>
      <c r="R8" s="653" t="str">
        <f t="shared" si="8"/>
        <v>24</v>
      </c>
      <c r="S8" s="654" t="str">
        <f t="shared" si="8"/>
        <v>_</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329" t="s">
        <v>3658</v>
      </c>
      <c r="B9" s="1329" t="s">
        <v>1721</v>
      </c>
      <c r="C9" s="1330"/>
      <c r="D9" s="1330"/>
      <c r="E9" s="1330"/>
      <c r="F9" s="1329" t="s">
        <v>2</v>
      </c>
      <c r="G9" s="1329" t="s">
        <v>3323</v>
      </c>
      <c r="H9" s="1329" t="s">
        <v>3942</v>
      </c>
      <c r="I9" s="1331">
        <v>142.97</v>
      </c>
      <c r="J9" s="1331">
        <v>0</v>
      </c>
      <c r="K9" s="1331">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t="str">
        <f t="shared" si="9"/>
        <v>_</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329" t="s">
        <v>3659</v>
      </c>
      <c r="B10" s="1329" t="s">
        <v>1724</v>
      </c>
      <c r="C10" s="1330"/>
      <c r="D10" s="1330"/>
      <c r="E10" s="1330"/>
      <c r="F10" s="1329" t="s">
        <v>2</v>
      </c>
      <c r="G10" s="1329" t="s">
        <v>3323</v>
      </c>
      <c r="H10" s="1329" t="s">
        <v>3942</v>
      </c>
      <c r="I10" s="1331">
        <v>169.95</v>
      </c>
      <c r="J10" s="1331">
        <v>0</v>
      </c>
      <c r="K10" s="1331">
        <v>169.95</v>
      </c>
      <c r="L10" s="653" t="str">
        <f t="shared" si="2"/>
        <v>245</v>
      </c>
      <c r="M10" s="654" t="str">
        <f t="shared" si="0"/>
        <v>TAUX MAIN D'OEUVRE - VW - MCI - INTERNE</v>
      </c>
      <c r="N10" s="655">
        <f>+IF(OR($Q10=Parametres!$G$2,$Q10=Parametres!$G$3),I10,C10)</f>
        <v>169.95</v>
      </c>
      <c r="O10" s="659">
        <f>+IF(OR($Q10=Parametres!$G$2,$Q10=Parametres!$G$3),J10,D10)</f>
        <v>0</v>
      </c>
      <c r="P10" s="655">
        <f>+IF(OR($Q10=Parametres!$G$2,$Q10=Parametres!$G$3),K10,E10)</f>
        <v>169.95</v>
      </c>
      <c r="Q10" s="654" t="str">
        <f t="shared" ref="Q10:S10" si="10">+F10</f>
        <v>1-Mémo</v>
      </c>
      <c r="R10" s="653" t="str">
        <f t="shared" si="10"/>
        <v>24</v>
      </c>
      <c r="S10" s="654" t="str">
        <f t="shared" si="10"/>
        <v>_</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329" t="s">
        <v>3660</v>
      </c>
      <c r="B11" s="1329" t="s">
        <v>1727</v>
      </c>
      <c r="C11" s="1330"/>
      <c r="D11" s="1330"/>
      <c r="E11" s="1330"/>
      <c r="F11" s="1329" t="s">
        <v>2</v>
      </c>
      <c r="G11" s="1329" t="s">
        <v>3323</v>
      </c>
      <c r="H11" s="1329" t="s">
        <v>3942</v>
      </c>
      <c r="I11" s="1331">
        <v>75</v>
      </c>
      <c r="J11" s="1331">
        <v>0</v>
      </c>
      <c r="K11" s="1331">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t="str">
        <f t="shared" si="11"/>
        <v>_</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329" t="s">
        <v>741</v>
      </c>
      <c r="B12" s="1329" t="s">
        <v>742</v>
      </c>
      <c r="C12" s="1330"/>
      <c r="D12" s="1330"/>
      <c r="E12" s="1330"/>
      <c r="F12" s="1329" t="s">
        <v>2</v>
      </c>
      <c r="G12" s="1329" t="s">
        <v>742</v>
      </c>
      <c r="H12" s="1329" t="s">
        <v>3942</v>
      </c>
      <c r="I12" s="1331">
        <v>0.14000000000000001</v>
      </c>
      <c r="J12" s="1331">
        <v>0</v>
      </c>
      <c r="K12" s="1331">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t="str">
        <f t="shared" si="12"/>
        <v>_</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329" t="s">
        <v>3661</v>
      </c>
      <c r="B13" s="1329" t="s">
        <v>744</v>
      </c>
      <c r="C13" s="1330"/>
      <c r="D13" s="1330"/>
      <c r="E13" s="1330"/>
      <c r="F13" s="1329" t="s">
        <v>2</v>
      </c>
      <c r="G13" s="1329" t="s">
        <v>744</v>
      </c>
      <c r="H13" s="1329" t="s">
        <v>3942</v>
      </c>
      <c r="I13" s="1331">
        <v>848.45</v>
      </c>
      <c r="J13" s="1331">
        <v>0</v>
      </c>
      <c r="K13" s="1331">
        <v>848.45</v>
      </c>
      <c r="L13" s="653" t="str">
        <f t="shared" si="2"/>
        <v>257</v>
      </c>
      <c r="M13" s="654" t="str">
        <f t="shared" si="0"/>
        <v>HEURES VENDUES - SVC - VW - MCI - CLIENT</v>
      </c>
      <c r="N13" s="655">
        <f>+IF(OR($Q13=Parametres!$G$2,$Q13=Parametres!$G$3),I13,C13)</f>
        <v>848.45</v>
      </c>
      <c r="O13" s="655">
        <f>+IF(OR($Q13=Parametres!$G$2,$Q13=Parametres!$G$3),J13,D13)</f>
        <v>0</v>
      </c>
      <c r="P13" s="655">
        <f>+IF(OR($Q13=Parametres!$G$2,$Q13=Parametres!$G$3),K13,E13)</f>
        <v>848.45</v>
      </c>
      <c r="Q13" s="654" t="str">
        <f t="shared" ref="Q13:S13" si="13">+F13</f>
        <v>1-Mémo</v>
      </c>
      <c r="R13" s="653" t="str">
        <f t="shared" si="13"/>
        <v>257</v>
      </c>
      <c r="S13" s="654" t="str">
        <f t="shared" si="13"/>
        <v>_</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329" t="s">
        <v>3662</v>
      </c>
      <c r="B14" s="1329" t="s">
        <v>1750</v>
      </c>
      <c r="C14" s="1330"/>
      <c r="D14" s="1330"/>
      <c r="E14" s="1330"/>
      <c r="F14" s="1329" t="s">
        <v>2</v>
      </c>
      <c r="G14" s="1329" t="s">
        <v>744</v>
      </c>
      <c r="H14" s="1329" t="s">
        <v>3942</v>
      </c>
      <c r="I14" s="1331">
        <v>652.20000000000005</v>
      </c>
      <c r="J14" s="1331">
        <v>0</v>
      </c>
      <c r="K14" s="1331">
        <v>652.20000000000005</v>
      </c>
      <c r="L14" s="653" t="str">
        <f t="shared" si="2"/>
        <v>258</v>
      </c>
      <c r="M14" s="654" t="str">
        <f t="shared" si="0"/>
        <v>HEURES VENDUES - SVC - VW - MCI - GARANTIE</v>
      </c>
      <c r="N14" s="655">
        <f>+IF(OR($Q14=Parametres!$G$2,$Q14=Parametres!$G$3),I14,C14)</f>
        <v>652.20000000000005</v>
      </c>
      <c r="O14" s="655">
        <f>+IF(OR($Q14=Parametres!$G$2,$Q14=Parametres!$G$3),J14,D14)</f>
        <v>0</v>
      </c>
      <c r="P14" s="655">
        <f>+IF(OR($Q14=Parametres!$G$2,$Q14=Parametres!$G$3),K14,E14)</f>
        <v>652.20000000000005</v>
      </c>
      <c r="Q14" s="654" t="str">
        <f t="shared" ref="Q14:S14" si="14">+F14</f>
        <v>1-Mémo</v>
      </c>
      <c r="R14" s="653" t="str">
        <f t="shared" si="14"/>
        <v>257</v>
      </c>
      <c r="S14" s="654" t="str">
        <f t="shared" si="14"/>
        <v>_</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329" t="s">
        <v>3663</v>
      </c>
      <c r="B15" s="1329" t="s">
        <v>1753</v>
      </c>
      <c r="C15" s="1330"/>
      <c r="D15" s="1330"/>
      <c r="E15" s="1330"/>
      <c r="F15" s="1329" t="s">
        <v>2</v>
      </c>
      <c r="G15" s="1329" t="s">
        <v>744</v>
      </c>
      <c r="H15" s="1329" t="s">
        <v>3942</v>
      </c>
      <c r="I15" s="1331">
        <v>609.62</v>
      </c>
      <c r="J15" s="1331">
        <v>0</v>
      </c>
      <c r="K15" s="1331">
        <v>609.62</v>
      </c>
      <c r="L15" s="653" t="str">
        <f t="shared" si="2"/>
        <v>259</v>
      </c>
      <c r="M15" s="654" t="str">
        <f t="shared" si="0"/>
        <v>HEURES VENDUES - SVC - VW - MCI - INTERNE</v>
      </c>
      <c r="N15" s="655">
        <f>+IF(OR($Q15=Parametres!$G$2,$Q15=Parametres!$G$3),I15,C15)</f>
        <v>609.62</v>
      </c>
      <c r="O15" s="655">
        <f>+IF(OR($Q15=Parametres!$G$2,$Q15=Parametres!$G$3),J15,D15)</f>
        <v>0</v>
      </c>
      <c r="P15" s="655">
        <f>+IF(OR($Q15=Parametres!$G$2,$Q15=Parametres!$G$3),K15,E15)</f>
        <v>609.62</v>
      </c>
      <c r="Q15" s="654" t="str">
        <f t="shared" ref="Q15:S15" si="15">+F15</f>
        <v>1-Mémo</v>
      </c>
      <c r="R15" s="653" t="str">
        <f t="shared" si="15"/>
        <v>257</v>
      </c>
      <c r="S15" s="654" t="str">
        <f t="shared" si="15"/>
        <v>_</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329" t="s">
        <v>3950</v>
      </c>
      <c r="B16" s="1329" t="s">
        <v>3951</v>
      </c>
      <c r="C16" s="1330"/>
      <c r="D16" s="1330"/>
      <c r="E16" s="1330"/>
      <c r="F16" s="1329" t="s">
        <v>2</v>
      </c>
      <c r="G16" s="1329" t="s">
        <v>3952</v>
      </c>
      <c r="H16" s="1329" t="s">
        <v>3942</v>
      </c>
      <c r="I16" s="1331">
        <v>169.95</v>
      </c>
      <c r="J16" s="1331">
        <v>0</v>
      </c>
      <c r="K16" s="1331">
        <v>169.95</v>
      </c>
      <c r="L16" s="653" t="str">
        <f t="shared" si="2"/>
        <v>266</v>
      </c>
      <c r="M16" s="654" t="str">
        <f t="shared" si="0"/>
        <v>TAUX MAIN D'OEUVRE - CLIENT - VW - VEB</v>
      </c>
      <c r="N16" s="655">
        <f>+IF(OR($Q16=Parametres!$G$2,$Q16=Parametres!$G$3),I16,C16)</f>
        <v>169.95</v>
      </c>
      <c r="O16" s="655">
        <f>+IF(OR($Q16=Parametres!$G$2,$Q16=Parametres!$G$3),J16,D16)</f>
        <v>0</v>
      </c>
      <c r="P16" s="655">
        <f>+IF(OR($Q16=Parametres!$G$2,$Q16=Parametres!$G$3),K16,E16)</f>
        <v>169.95</v>
      </c>
      <c r="Q16" s="654" t="str">
        <f t="shared" ref="Q16:S16" si="16">+F16</f>
        <v>1-Mémo</v>
      </c>
      <c r="R16" s="653" t="str">
        <f t="shared" si="16"/>
        <v>26</v>
      </c>
      <c r="S16" s="654" t="str">
        <f t="shared" si="16"/>
        <v>_</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329" t="s">
        <v>3953</v>
      </c>
      <c r="B17" s="1329" t="s">
        <v>3954</v>
      </c>
      <c r="C17" s="1330"/>
      <c r="D17" s="1330"/>
      <c r="E17" s="1330"/>
      <c r="F17" s="1329" t="s">
        <v>2</v>
      </c>
      <c r="G17" s="1329" t="s">
        <v>3952</v>
      </c>
      <c r="H17" s="1329" t="s">
        <v>3942</v>
      </c>
      <c r="I17" s="1331">
        <v>142.97</v>
      </c>
      <c r="J17" s="1331">
        <v>0</v>
      </c>
      <c r="K17" s="1331">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329" t="s">
        <v>3955</v>
      </c>
      <c r="B18" s="1329" t="s">
        <v>3956</v>
      </c>
      <c r="C18" s="1330"/>
      <c r="D18" s="1330"/>
      <c r="E18" s="1330"/>
      <c r="F18" s="1329" t="s">
        <v>2</v>
      </c>
      <c r="G18" s="1329" t="s">
        <v>3952</v>
      </c>
      <c r="H18" s="1329" t="s">
        <v>3942</v>
      </c>
      <c r="I18" s="1331">
        <v>169.95</v>
      </c>
      <c r="J18" s="1331">
        <v>0</v>
      </c>
      <c r="K18" s="1331">
        <v>169.95</v>
      </c>
      <c r="L18" s="653" t="str">
        <f t="shared" si="2"/>
        <v>268</v>
      </c>
      <c r="M18" s="654" t="str">
        <f t="shared" si="0"/>
        <v>TAUX MAIN D'OEUVRE - INTERNE - VW - VEB</v>
      </c>
      <c r="N18" s="655">
        <f>+IF(OR($Q18=Parametres!$G$2,$Q18=Parametres!$G$3),I18,C18)</f>
        <v>169.95</v>
      </c>
      <c r="O18" s="655">
        <f>+IF(OR($Q18=Parametres!$G$2,$Q18=Parametres!$G$3),J18,D18)</f>
        <v>0</v>
      </c>
      <c r="P18" s="655">
        <f>+IF(OR($Q18=Parametres!$G$2,$Q18=Parametres!$G$3),K18,E18)</f>
        <v>169.95</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329" t="s">
        <v>3957</v>
      </c>
      <c r="B19" s="1329" t="s">
        <v>3958</v>
      </c>
      <c r="C19" s="1330"/>
      <c r="D19" s="1330"/>
      <c r="E19" s="1330"/>
      <c r="F19" s="1329" t="s">
        <v>2</v>
      </c>
      <c r="G19" s="1329" t="s">
        <v>3952</v>
      </c>
      <c r="H19" s="1329" t="s">
        <v>3942</v>
      </c>
      <c r="I19" s="1331">
        <v>75</v>
      </c>
      <c r="J19" s="1331">
        <v>0</v>
      </c>
      <c r="K19" s="1331">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329" t="s">
        <v>750</v>
      </c>
      <c r="B20" s="1329" t="s">
        <v>1777</v>
      </c>
      <c r="C20" s="1330"/>
      <c r="D20" s="1330"/>
      <c r="E20" s="1330"/>
      <c r="F20" s="1329" t="s">
        <v>2</v>
      </c>
      <c r="G20" s="1329" t="s">
        <v>748</v>
      </c>
      <c r="H20" s="1329" t="s">
        <v>3942</v>
      </c>
      <c r="I20" s="1331">
        <v>11375</v>
      </c>
      <c r="J20" s="1331">
        <v>0</v>
      </c>
      <c r="K20" s="1331">
        <v>11375</v>
      </c>
      <c r="L20" s="653" t="str">
        <f t="shared" si="2"/>
        <v>302</v>
      </c>
      <c r="M20" s="654" t="str">
        <f t="shared" si="0"/>
        <v>RECLAM GARANTIE VW PASSE DU 30-60</v>
      </c>
      <c r="N20" s="655">
        <f>+IF(OR($Q20=Parametres!$G$2,$Q20=Parametres!$G$3),I20,C20)</f>
        <v>11375</v>
      </c>
      <c r="O20" s="655">
        <f>+IF(OR($Q20=Parametres!$G$2,$Q20=Parametres!$G$3),J20,D20)</f>
        <v>0</v>
      </c>
      <c r="P20" s="655">
        <f>+IF(OR($Q20=Parametres!$G$2,$Q20=Parametres!$G$3),K20,E20)</f>
        <v>11375</v>
      </c>
      <c r="Q20" s="654" t="str">
        <f t="shared" ref="Q20:S20" si="20">+F20</f>
        <v>1-Mémo</v>
      </c>
      <c r="R20" s="653" t="str">
        <f t="shared" si="20"/>
        <v>30</v>
      </c>
      <c r="S20" s="654" t="str">
        <f t="shared" si="20"/>
        <v>_</v>
      </c>
      <c r="T20" s="656" t="str">
        <f>+VLOOKUP($L20,Data_Validation!$A:$D,1,0)</f>
        <v>302</v>
      </c>
      <c r="U20" s="656">
        <f>+VLOOKUP($L20,Data_Validation!$A:$D,3,0)</f>
        <v>0</v>
      </c>
      <c r="V20" s="656">
        <f>+VLOOKUP($L20,Data_Validation!$A:$D,4,0)</f>
        <v>0</v>
      </c>
      <c r="W20" s="656">
        <f>+VLOOKUP($L20,Data_Validation!$A:$E,5,0)</f>
        <v>0</v>
      </c>
      <c r="X20" s="656">
        <f>+VLOOKUP($L20,Data_Validation!$A:$F,6,0)</f>
        <v>0</v>
      </c>
    </row>
    <row r="21" spans="1:24" ht="15" customHeight="1">
      <c r="A21" s="1329" t="s">
        <v>751</v>
      </c>
      <c r="B21" s="1329" t="s">
        <v>1780</v>
      </c>
      <c r="C21" s="1330"/>
      <c r="D21" s="1330"/>
      <c r="E21" s="1330"/>
      <c r="F21" s="1329" t="s">
        <v>2</v>
      </c>
      <c r="G21" s="1329" t="s">
        <v>748</v>
      </c>
      <c r="H21" s="1329" t="s">
        <v>3942</v>
      </c>
      <c r="I21" s="1331">
        <v>23250</v>
      </c>
      <c r="J21" s="1331">
        <v>0</v>
      </c>
      <c r="K21" s="1331">
        <v>23250</v>
      </c>
      <c r="L21" s="653" t="str">
        <f t="shared" si="2"/>
        <v>307</v>
      </c>
      <c r="M21" s="654" t="str">
        <f t="shared" si="0"/>
        <v>AUTRE REC MANUFACTURIER VW PASSE DU 30-60</v>
      </c>
      <c r="N21" s="655">
        <f>+IF(OR($Q21=Parametres!$G$2,$Q21=Parametres!$G$3),I21,C21)</f>
        <v>23250</v>
      </c>
      <c r="O21" s="655">
        <f>+IF(OR($Q21=Parametres!$G$2,$Q21=Parametres!$G$3),J21,D21)</f>
        <v>0</v>
      </c>
      <c r="P21" s="655">
        <f>+IF(OR($Q21=Parametres!$G$2,$Q21=Parametres!$G$3),K21,E21)</f>
        <v>23250</v>
      </c>
      <c r="Q21" s="654" t="str">
        <f t="shared" ref="Q21:S21" si="21">+F21</f>
        <v>1-Mémo</v>
      </c>
      <c r="R21" s="653" t="str">
        <f t="shared" si="21"/>
        <v>30</v>
      </c>
      <c r="S21" s="654" t="str">
        <f t="shared" si="21"/>
        <v>_</v>
      </c>
      <c r="T21" s="656" t="str">
        <f>+VLOOKUP($L21,Data_Validation!$A:$D,1,0)</f>
        <v>307</v>
      </c>
      <c r="U21" s="656">
        <f>+VLOOKUP($L21,Data_Validation!$A:$D,3,0)</f>
        <v>0</v>
      </c>
      <c r="V21" s="656">
        <f>+VLOOKUP($L21,Data_Validation!$A:$D,4,0)</f>
        <v>0</v>
      </c>
      <c r="W21" s="656">
        <f>+VLOOKUP($L21,Data_Validation!$A:$E,5,0)</f>
        <v>0</v>
      </c>
      <c r="X21" s="656">
        <f>+VLOOKUP($L21,Data_Validation!$A:$F,6,0)</f>
        <v>0</v>
      </c>
    </row>
    <row r="22" spans="1:24" ht="15" customHeight="1">
      <c r="A22" s="1329" t="s">
        <v>752</v>
      </c>
      <c r="B22" s="1329" t="s">
        <v>1783</v>
      </c>
      <c r="C22" s="1330"/>
      <c r="D22" s="1330"/>
      <c r="E22" s="1330"/>
      <c r="F22" s="1329" t="s">
        <v>2</v>
      </c>
      <c r="G22" s="1329" t="s">
        <v>3324</v>
      </c>
      <c r="H22" s="1329" t="s">
        <v>3942</v>
      </c>
      <c r="I22" s="1331">
        <v>42293.36</v>
      </c>
      <c r="J22" s="1331">
        <v>0</v>
      </c>
      <c r="K22" s="1331">
        <v>42293.36</v>
      </c>
      <c r="L22" s="653" t="str">
        <f t="shared" si="2"/>
        <v>311</v>
      </c>
      <c r="M22" s="654" t="str">
        <f t="shared" si="0"/>
        <v>CLIENT VEH PLUS DE 60</v>
      </c>
      <c r="N22" s="655">
        <f>+IF(OR($Q22=Parametres!$G$2,$Q22=Parametres!$G$3),I22,C22)</f>
        <v>42293.36</v>
      </c>
      <c r="O22" s="655">
        <f>+IF(OR($Q22=Parametres!$G$2,$Q22=Parametres!$G$3),J22,D22)</f>
        <v>0</v>
      </c>
      <c r="P22" s="655">
        <f>+IF(OR($Q22=Parametres!$G$2,$Q22=Parametres!$G$3),K22,E22)</f>
        <v>42293.36</v>
      </c>
      <c r="Q22" s="654" t="str">
        <f t="shared" ref="Q22:S22" si="22">+F22</f>
        <v>1-Mémo</v>
      </c>
      <c r="R22" s="653" t="str">
        <f t="shared" si="22"/>
        <v>31</v>
      </c>
      <c r="S22" s="654" t="str">
        <f t="shared" si="22"/>
        <v>_</v>
      </c>
      <c r="T22" s="656" t="str">
        <f>+VLOOKUP($L22,Data_Validation!$A:$D,1,0)</f>
        <v>311</v>
      </c>
      <c r="U22" s="656">
        <f>+VLOOKUP($L22,Data_Validation!$A:$D,3,0)</f>
        <v>0</v>
      </c>
      <c r="V22" s="656">
        <f>+VLOOKUP($L22,Data_Validation!$A:$D,4,0)</f>
        <v>0</v>
      </c>
      <c r="W22" s="656">
        <f>+VLOOKUP($L22,Data_Validation!$A:$E,5,0)</f>
        <v>0</v>
      </c>
      <c r="X22" s="656">
        <f>+VLOOKUP($L22,Data_Validation!$A:$F,6,0)</f>
        <v>0</v>
      </c>
    </row>
    <row r="23" spans="1:24" ht="15" customHeight="1">
      <c r="A23" s="1329" t="s">
        <v>753</v>
      </c>
      <c r="B23" s="1329" t="s">
        <v>1786</v>
      </c>
      <c r="C23" s="1330"/>
      <c r="D23" s="1330"/>
      <c r="E23" s="1330"/>
      <c r="F23" s="1329" t="s">
        <v>2</v>
      </c>
      <c r="G23" s="1329" t="s">
        <v>3324</v>
      </c>
      <c r="H23" s="1329" t="s">
        <v>3942</v>
      </c>
      <c r="I23" s="1331">
        <v>18860.5</v>
      </c>
      <c r="J23" s="1331">
        <v>0</v>
      </c>
      <c r="K23" s="1331">
        <v>18860.5</v>
      </c>
      <c r="L23" s="653" t="str">
        <f t="shared" si="2"/>
        <v>312</v>
      </c>
      <c r="M23" s="654" t="str">
        <f t="shared" si="0"/>
        <v>CLIENT S P ET A PLUS DE 60</v>
      </c>
      <c r="N23" s="655">
        <f>+IF(OR($Q23=Parametres!$G$2,$Q23=Parametres!$G$3),I23,C23)</f>
        <v>18860.5</v>
      </c>
      <c r="O23" s="655">
        <f>+IF(OR($Q23=Parametres!$G$2,$Q23=Parametres!$G$3),J23,D23)</f>
        <v>0</v>
      </c>
      <c r="P23" s="655">
        <f>+IF(OR($Q23=Parametres!$G$2,$Q23=Parametres!$G$3),K23,E23)</f>
        <v>18860.5</v>
      </c>
      <c r="Q23" s="654" t="str">
        <f t="shared" ref="Q23:S23" si="23">+F23</f>
        <v>1-Mémo</v>
      </c>
      <c r="R23" s="653" t="str">
        <f t="shared" si="23"/>
        <v>31</v>
      </c>
      <c r="S23" s="654" t="str">
        <f t="shared" si="23"/>
        <v>_</v>
      </c>
      <c r="T23" s="656" t="str">
        <f>+VLOOKUP($L23,Data_Validation!$A:$D,1,0)</f>
        <v>312</v>
      </c>
      <c r="U23" s="656">
        <f>+VLOOKUP($L23,Data_Validation!$A:$D,3,0)</f>
        <v>0</v>
      </c>
      <c r="V23" s="656">
        <f>+VLOOKUP($L23,Data_Validation!$A:$D,4,0)</f>
        <v>0</v>
      </c>
      <c r="W23" s="656">
        <f>+VLOOKUP($L23,Data_Validation!$A:$E,5,0)</f>
        <v>0</v>
      </c>
      <c r="X23" s="656">
        <f>+VLOOKUP($L23,Data_Validation!$A:$F,6,0)</f>
        <v>0</v>
      </c>
    </row>
    <row r="24" spans="1:24" ht="15" customHeight="1">
      <c r="A24" s="1329" t="s">
        <v>754</v>
      </c>
      <c r="B24" s="1329" t="s">
        <v>1789</v>
      </c>
      <c r="C24" s="1330"/>
      <c r="D24" s="1330"/>
      <c r="E24" s="1330"/>
      <c r="F24" s="1329" t="s">
        <v>2</v>
      </c>
      <c r="G24" s="1329" t="s">
        <v>3324</v>
      </c>
      <c r="H24" s="1329" t="s">
        <v>3942</v>
      </c>
      <c r="I24" s="1331">
        <v>29699.77</v>
      </c>
      <c r="J24" s="1331">
        <v>0</v>
      </c>
      <c r="K24" s="1331">
        <v>29699.77</v>
      </c>
      <c r="L24" s="653" t="str">
        <f t="shared" si="2"/>
        <v>313</v>
      </c>
      <c r="M24" s="654" t="str">
        <f t="shared" si="0"/>
        <v>RECLAMATIONS DE GARATIE VW PLUS DE 60</v>
      </c>
      <c r="N24" s="655">
        <f>+IF(OR($Q24=Parametres!$G$2,$Q24=Parametres!$G$3),I24,C24)</f>
        <v>29699.77</v>
      </c>
      <c r="O24" s="655">
        <f>+IF(OR($Q24=Parametres!$G$2,$Q24=Parametres!$G$3),J24,D24)</f>
        <v>0</v>
      </c>
      <c r="P24" s="655">
        <f>+IF(OR($Q24=Parametres!$G$2,$Q24=Parametres!$G$3),K24,E24)</f>
        <v>29699.77</v>
      </c>
      <c r="Q24" s="654" t="str">
        <f t="shared" ref="Q24:S24" si="24">+F24</f>
        <v>1-Mémo</v>
      </c>
      <c r="R24" s="653" t="str">
        <f t="shared" si="24"/>
        <v>31</v>
      </c>
      <c r="S24" s="654" t="str">
        <f t="shared" si="24"/>
        <v>_</v>
      </c>
      <c r="T24" s="656" t="str">
        <f>+VLOOKUP($L24,Data_Validation!$A:$D,1,0)</f>
        <v>313</v>
      </c>
      <c r="U24" s="656">
        <f>+VLOOKUP($L24,Data_Validation!$A:$D,3,0)</f>
        <v>0</v>
      </c>
      <c r="V24" s="656">
        <f>+VLOOKUP($L24,Data_Validation!$A:$D,4,0)</f>
        <v>0</v>
      </c>
      <c r="W24" s="656">
        <f>+VLOOKUP($L24,Data_Validation!$A:$E,5,0)</f>
        <v>0</v>
      </c>
      <c r="X24" s="656">
        <f>+VLOOKUP($L24,Data_Validation!$A:$F,6,0)</f>
        <v>0</v>
      </c>
    </row>
    <row r="25" spans="1:24" ht="15" customHeight="1">
      <c r="A25" s="1329" t="s">
        <v>755</v>
      </c>
      <c r="B25" s="1329" t="s">
        <v>1792</v>
      </c>
      <c r="C25" s="1330"/>
      <c r="D25" s="1330"/>
      <c r="E25" s="1330"/>
      <c r="F25" s="1329" t="s">
        <v>2</v>
      </c>
      <c r="G25" s="1329" t="s">
        <v>3324</v>
      </c>
      <c r="H25" s="1329" t="s">
        <v>3942</v>
      </c>
      <c r="I25" s="1331">
        <v>700</v>
      </c>
      <c r="J25" s="1331">
        <v>0</v>
      </c>
      <c r="K25" s="1331">
        <v>700</v>
      </c>
      <c r="L25" s="653" t="str">
        <f t="shared" si="2"/>
        <v>316</v>
      </c>
      <c r="M25" s="654" t="str">
        <f t="shared" si="0"/>
        <v>AUTRE REC MANUFACTURIER VW PLUS DE 60</v>
      </c>
      <c r="N25" s="655">
        <f>+IF(OR($Q25=Parametres!$G$2,$Q25=Parametres!$G$3),I25,C25)</f>
        <v>700</v>
      </c>
      <c r="O25" s="655">
        <f>+IF(OR($Q25=Parametres!$G$2,$Q25=Parametres!$G$3),J25,D25)</f>
        <v>0</v>
      </c>
      <c r="P25" s="655">
        <f>+IF(OR($Q25=Parametres!$G$2,$Q25=Parametres!$G$3),K25,E25)</f>
        <v>700</v>
      </c>
      <c r="Q25" s="654" t="str">
        <f t="shared" ref="Q25:S25" si="25">+F25</f>
        <v>1-Mémo</v>
      </c>
      <c r="R25" s="653" t="str">
        <f t="shared" si="25"/>
        <v>31</v>
      </c>
      <c r="S25" s="654" t="str">
        <f t="shared" si="25"/>
        <v>_</v>
      </c>
      <c r="T25" s="656" t="str">
        <f>+VLOOKUP($L25,Data_Validation!$A:$D,1,0)</f>
        <v>316</v>
      </c>
      <c r="U25" s="656">
        <f>+VLOOKUP($L25,Data_Validation!$A:$D,3,0)</f>
        <v>0</v>
      </c>
      <c r="V25" s="656">
        <f>+VLOOKUP($L25,Data_Validation!$A:$D,4,0)</f>
        <v>0</v>
      </c>
      <c r="W25" s="656">
        <f>+VLOOKUP($L25,Data_Validation!$A:$E,5,0)</f>
        <v>0</v>
      </c>
      <c r="X25" s="656">
        <f>+VLOOKUP($L25,Data_Validation!$A:$F,6,0)</f>
        <v>0</v>
      </c>
    </row>
    <row r="26" spans="1:24" ht="15.75" customHeight="1">
      <c r="A26" s="1329" t="s">
        <v>756</v>
      </c>
      <c r="B26" s="1329" t="s">
        <v>1798</v>
      </c>
      <c r="C26" s="1330"/>
      <c r="D26" s="1330"/>
      <c r="E26" s="1330"/>
      <c r="F26" s="1329" t="s">
        <v>2</v>
      </c>
      <c r="G26" s="1329" t="s">
        <v>3325</v>
      </c>
      <c r="H26" s="1329" t="s">
        <v>3942</v>
      </c>
      <c r="I26" s="1331">
        <v>0.04</v>
      </c>
      <c r="J26" s="1331">
        <v>0</v>
      </c>
      <c r="K26" s="1331">
        <v>0.04</v>
      </c>
      <c r="L26" s="653" t="str">
        <f t="shared" si="2"/>
        <v>350</v>
      </c>
      <c r="M26" s="654" t="str">
        <f t="shared" si="0"/>
        <v>UNITES USAGES +30JRS</v>
      </c>
      <c r="N26" s="655">
        <f>+IF(OR($Q26=Parametres!$G$2,$Q26=Parametres!$G$3),I26,C26)</f>
        <v>0.04</v>
      </c>
      <c r="O26" s="655">
        <f>+IF(OR($Q26=Parametres!$G$2,$Q26=Parametres!$G$3),J26,D26)</f>
        <v>0</v>
      </c>
      <c r="P26" s="655">
        <f>+IF(OR($Q26=Parametres!$G$2,$Q26=Parametres!$G$3),K26,E26)</f>
        <v>0.04</v>
      </c>
      <c r="Q26" s="654" t="str">
        <f t="shared" ref="Q26:S26" si="26">+F26</f>
        <v>1-Mémo</v>
      </c>
      <c r="R26" s="653" t="str">
        <f t="shared" si="26"/>
        <v>35</v>
      </c>
      <c r="S26" s="654" t="str">
        <f t="shared" si="26"/>
        <v>_</v>
      </c>
      <c r="T26" s="656" t="str">
        <f>+VLOOKUP($L26,Data_Validation!$A:$D,1,0)</f>
        <v>350</v>
      </c>
      <c r="U26" s="656">
        <f>+VLOOKUP($L26,Data_Validation!$A:$D,3,0)</f>
        <v>0</v>
      </c>
      <c r="V26" s="656">
        <f>+VLOOKUP($L26,Data_Validation!$A:$D,4,0)</f>
        <v>0</v>
      </c>
      <c r="W26" s="656">
        <f>+VLOOKUP($L26,Data_Validation!$A:$E,5,0)</f>
        <v>0</v>
      </c>
      <c r="X26" s="656">
        <f>+VLOOKUP($L26,Data_Validation!$A:$F,6,0)</f>
        <v>0</v>
      </c>
    </row>
    <row r="27" spans="1:24" ht="15" customHeight="1">
      <c r="A27" s="1329" t="s">
        <v>757</v>
      </c>
      <c r="B27" s="1329" t="s">
        <v>1801</v>
      </c>
      <c r="C27" s="1330"/>
      <c r="D27" s="1330"/>
      <c r="E27" s="1330"/>
      <c r="F27" s="1329" t="s">
        <v>2</v>
      </c>
      <c r="G27" s="1329" t="s">
        <v>3326</v>
      </c>
      <c r="H27" s="1329" t="s">
        <v>3942</v>
      </c>
      <c r="I27" s="1331">
        <v>94074.7</v>
      </c>
      <c r="J27" s="1331">
        <v>0</v>
      </c>
      <c r="K27" s="1331">
        <v>94074.7</v>
      </c>
      <c r="L27" s="653" t="str">
        <f t="shared" si="2"/>
        <v>360</v>
      </c>
      <c r="M27" s="654" t="str">
        <f t="shared" si="0"/>
        <v>OCCASION VW + 60 JRS</v>
      </c>
      <c r="N27" s="655">
        <f>+IF(OR($Q27=Parametres!$G$2,$Q27=Parametres!$G$3),I27,C27)</f>
        <v>94074.7</v>
      </c>
      <c r="O27" s="655">
        <f>+IF(OR($Q27=Parametres!$G$2,$Q27=Parametres!$G$3),J27,D27)</f>
        <v>0</v>
      </c>
      <c r="P27" s="655">
        <f>+IF(OR($Q27=Parametres!$G$2,$Q27=Parametres!$G$3),K27,E27)</f>
        <v>94074.7</v>
      </c>
      <c r="Q27" s="654" t="str">
        <f t="shared" ref="Q27:S27" si="27">+F27</f>
        <v>1-Mémo</v>
      </c>
      <c r="R27" s="653" t="str">
        <f t="shared" si="27"/>
        <v>36</v>
      </c>
      <c r="S27" s="654" t="str">
        <f t="shared" si="27"/>
        <v>_</v>
      </c>
      <c r="T27" s="656" t="str">
        <f>+VLOOKUP($L27,Data_Validation!$A:$D,1,0)</f>
        <v>360</v>
      </c>
      <c r="U27" s="656">
        <f>+VLOOKUP($L27,Data_Validation!$A:$D,3,0)</f>
        <v>0</v>
      </c>
      <c r="V27" s="656">
        <f>+VLOOKUP($L27,Data_Validation!$A:$D,4,0)</f>
        <v>0</v>
      </c>
      <c r="W27" s="656">
        <f>+VLOOKUP($L27,Data_Validation!$A:$E,5,0)</f>
        <v>0</v>
      </c>
      <c r="X27" s="656">
        <f>+VLOOKUP($L27,Data_Validation!$A:$F,6,0)</f>
        <v>0</v>
      </c>
    </row>
    <row r="28" spans="1:24" ht="15" customHeight="1">
      <c r="A28" s="1329" t="s">
        <v>758</v>
      </c>
      <c r="B28" s="1329" t="s">
        <v>1804</v>
      </c>
      <c r="C28" s="1330"/>
      <c r="D28" s="1330"/>
      <c r="E28" s="1330"/>
      <c r="F28" s="1329" t="s">
        <v>2</v>
      </c>
      <c r="G28" s="1329" t="s">
        <v>3327</v>
      </c>
      <c r="H28" s="1329" t="s">
        <v>3942</v>
      </c>
      <c r="I28" s="1331">
        <v>1714416</v>
      </c>
      <c r="J28" s="1331">
        <v>0</v>
      </c>
      <c r="K28" s="1331">
        <v>1714416</v>
      </c>
      <c r="L28" s="653" t="str">
        <f t="shared" si="2"/>
        <v>370</v>
      </c>
      <c r="M28" s="654" t="str">
        <f t="shared" si="0"/>
        <v>AVOIR DU PROP. MIM. REQUIS</v>
      </c>
      <c r="N28" s="655">
        <f>+IF(OR($Q28=Parametres!$G$2,$Q28=Parametres!$G$3),I28,C28)</f>
        <v>1714416</v>
      </c>
      <c r="O28" s="655">
        <f>+IF(OR($Q28=Parametres!$G$2,$Q28=Parametres!$G$3),J28,D28)</f>
        <v>0</v>
      </c>
      <c r="P28" s="655">
        <f>+IF(OR($Q28=Parametres!$G$2,$Q28=Parametres!$G$3),K28,E28)</f>
        <v>1714416</v>
      </c>
      <c r="Q28" s="654" t="str">
        <f t="shared" ref="Q28:S28" si="28">+F28</f>
        <v>1-Mémo</v>
      </c>
      <c r="R28" s="653" t="str">
        <f t="shared" si="28"/>
        <v>37</v>
      </c>
      <c r="S28" s="654" t="str">
        <f t="shared" si="28"/>
        <v>_</v>
      </c>
      <c r="T28" s="656" t="str">
        <f>+VLOOKUP($L28,Data_Validation!$A:$D,1,0)</f>
        <v>370</v>
      </c>
      <c r="U28" s="656">
        <f>+VLOOKUP($L28,Data_Validation!$A:$D,3,0)</f>
        <v>0</v>
      </c>
      <c r="V28" s="656">
        <f>+VLOOKUP($L28,Data_Validation!$A:$D,4,0)</f>
        <v>0</v>
      </c>
      <c r="W28" s="656">
        <f>+VLOOKUP($L28,Data_Validation!$A:$E,5,0)</f>
        <v>0</v>
      </c>
      <c r="X28" s="656">
        <f>+VLOOKUP($L28,Data_Validation!$A:$F,6,0)</f>
        <v>0</v>
      </c>
    </row>
    <row r="29" spans="1:24" ht="15" customHeight="1">
      <c r="A29" s="1329" t="s">
        <v>759</v>
      </c>
      <c r="B29" s="1329" t="s">
        <v>1807</v>
      </c>
      <c r="C29" s="1330"/>
      <c r="D29" s="1330"/>
      <c r="E29" s="1330"/>
      <c r="F29" s="1329" t="s">
        <v>2</v>
      </c>
      <c r="G29" s="1329" t="s">
        <v>3327</v>
      </c>
      <c r="H29" s="1329" t="s">
        <v>3942</v>
      </c>
      <c r="I29" s="1331">
        <v>2639078</v>
      </c>
      <c r="J29" s="1331">
        <v>0</v>
      </c>
      <c r="K29" s="1331">
        <v>2639078</v>
      </c>
      <c r="L29" s="653" t="str">
        <f t="shared" si="2"/>
        <v>372</v>
      </c>
      <c r="M29" s="654" t="str">
        <f t="shared" si="0"/>
        <v>FONDS DE ROULEMENT/MIN. REQUIS</v>
      </c>
      <c r="N29" s="655">
        <f>+IF(OR($Q29=Parametres!$G$2,$Q29=Parametres!$G$3),I29,C29)</f>
        <v>2639078</v>
      </c>
      <c r="O29" s="655">
        <f>+IF(OR($Q29=Parametres!$G$2,$Q29=Parametres!$G$3),J29,D29)</f>
        <v>0</v>
      </c>
      <c r="P29" s="655">
        <f>+IF(OR($Q29=Parametres!$G$2,$Q29=Parametres!$G$3),K29,E29)</f>
        <v>2639078</v>
      </c>
      <c r="Q29" s="654" t="str">
        <f t="shared" ref="Q29:S29" si="29">+F29</f>
        <v>1-Mémo</v>
      </c>
      <c r="R29" s="653" t="str">
        <f t="shared" si="29"/>
        <v>37</v>
      </c>
      <c r="S29" s="654" t="str">
        <f t="shared" si="29"/>
        <v>_</v>
      </c>
      <c r="T29" s="656" t="str">
        <f>+VLOOKUP($L29,Data_Validation!$A:$D,1,0)</f>
        <v>372</v>
      </c>
      <c r="U29" s="656">
        <f>+VLOOKUP($L29,Data_Validation!$A:$D,3,0)</f>
        <v>0</v>
      </c>
      <c r="V29" s="656">
        <f>+VLOOKUP($L29,Data_Validation!$A:$D,4,0)</f>
        <v>0</v>
      </c>
      <c r="W29" s="656">
        <f>+VLOOKUP($L29,Data_Validation!$A:$E,5,0)</f>
        <v>0</v>
      </c>
      <c r="X29" s="656">
        <f>+VLOOKUP($L29,Data_Validation!$A:$F,6,0)</f>
        <v>0</v>
      </c>
    </row>
    <row r="30" spans="1:24" ht="15" customHeight="1">
      <c r="A30" s="1329" t="s">
        <v>760</v>
      </c>
      <c r="B30" s="1329" t="s">
        <v>1812</v>
      </c>
      <c r="C30" s="1330"/>
      <c r="D30" s="1330"/>
      <c r="E30" s="1330"/>
      <c r="F30" s="1329" t="s">
        <v>2</v>
      </c>
      <c r="G30" s="1329" t="s">
        <v>761</v>
      </c>
      <c r="H30" s="1329" t="s">
        <v>3942</v>
      </c>
      <c r="I30" s="1331">
        <v>0.45</v>
      </c>
      <c r="J30" s="1331">
        <v>0</v>
      </c>
      <c r="K30" s="1331">
        <v>0.45</v>
      </c>
      <c r="L30" s="653" t="str">
        <f t="shared" si="2"/>
        <v>401</v>
      </c>
      <c r="M30" s="654" t="str">
        <f t="shared" si="0"/>
        <v>UNITES NEUVES VENDUES JANVIER</v>
      </c>
      <c r="N30" s="655">
        <f>+IF(OR($Q30=Parametres!$G$2,$Q30=Parametres!$G$3),I30,C30)</f>
        <v>0.45</v>
      </c>
      <c r="O30" s="659">
        <f>+IF(OR($Q30=Parametres!$G$2,$Q30=Parametres!$G$3),J30,D30)</f>
        <v>0</v>
      </c>
      <c r="P30" s="655">
        <f>+IF(OR($Q30=Parametres!$G$2,$Q30=Parametres!$G$3),K30,E30)</f>
        <v>0.45</v>
      </c>
      <c r="Q30" s="654" t="str">
        <f t="shared" ref="Q30:S30" si="30">+F30</f>
        <v>1-Mémo</v>
      </c>
      <c r="R30" s="653" t="str">
        <f t="shared" si="30"/>
        <v>40</v>
      </c>
      <c r="S30" s="654" t="str">
        <f t="shared" si="30"/>
        <v>_</v>
      </c>
      <c r="T30" s="656" t="str">
        <f>+VLOOKUP($L30,Data_Validation!$A:$D,1,0)</f>
        <v>401</v>
      </c>
      <c r="U30" s="656">
        <f>+VLOOKUP($L30,Data_Validation!$A:$D,3,0)</f>
        <v>0</v>
      </c>
      <c r="V30" s="656">
        <f>+VLOOKUP($L30,Data_Validation!$A:$D,4,0)</f>
        <v>0</v>
      </c>
      <c r="W30" s="656">
        <f>+VLOOKUP($L30,Data_Validation!$A:$E,5,0)</f>
        <v>0</v>
      </c>
      <c r="X30" s="656">
        <f>+VLOOKUP($L30,Data_Validation!$A:$F,6,0)</f>
        <v>0</v>
      </c>
    </row>
    <row r="31" spans="1:24" ht="15" customHeight="1">
      <c r="A31" s="1329" t="s">
        <v>773</v>
      </c>
      <c r="B31" s="1329" t="s">
        <v>1905</v>
      </c>
      <c r="C31" s="1330"/>
      <c r="D31" s="1330"/>
      <c r="E31" s="1330"/>
      <c r="F31" s="1329" t="s">
        <v>2</v>
      </c>
      <c r="G31" s="1329" t="s">
        <v>3328</v>
      </c>
      <c r="H31" s="1329" t="s">
        <v>3942</v>
      </c>
      <c r="I31" s="1331">
        <v>0.35</v>
      </c>
      <c r="J31" s="1331">
        <v>0</v>
      </c>
      <c r="K31" s="1331">
        <v>0.35</v>
      </c>
      <c r="L31" s="653" t="str">
        <f t="shared" si="2"/>
        <v>421</v>
      </c>
      <c r="M31" s="654" t="str">
        <f t="shared" si="0"/>
        <v>UNITES USAGES DET./ JANV.</v>
      </c>
      <c r="N31" s="655">
        <f>+IF(OR($Q31=Parametres!$G$2,$Q31=Parametres!$G$3),I31,C31)</f>
        <v>0.35</v>
      </c>
      <c r="O31" s="655">
        <f>+IF(OR($Q31=Parametres!$G$2,$Q31=Parametres!$G$3),J31,D31)</f>
        <v>0</v>
      </c>
      <c r="P31" s="655">
        <f>+IF(OR($Q31=Parametres!$G$2,$Q31=Parametres!$G$3),K31,E31)</f>
        <v>0.35</v>
      </c>
      <c r="Q31" s="654" t="str">
        <f t="shared" ref="Q31:S31" si="31">+F31</f>
        <v>1-Mémo</v>
      </c>
      <c r="R31" s="653" t="str">
        <f t="shared" si="31"/>
        <v>42</v>
      </c>
      <c r="S31" s="654" t="str">
        <f t="shared" si="31"/>
        <v>_</v>
      </c>
      <c r="T31" s="656" t="str">
        <f>+VLOOKUP($L31,Data_Validation!$A:$D,1,0)</f>
        <v>421</v>
      </c>
      <c r="U31" s="656">
        <f>+VLOOKUP($L31,Data_Validation!$A:$D,3,0)</f>
        <v>0</v>
      </c>
      <c r="V31" s="656">
        <f>+VLOOKUP($L31,Data_Validation!$A:$D,4,0)</f>
        <v>0</v>
      </c>
      <c r="W31" s="656">
        <f>+VLOOKUP($L31,Data_Validation!$A:$E,5,0)</f>
        <v>0</v>
      </c>
      <c r="X31" s="656">
        <f>+VLOOKUP($L31,Data_Validation!$A:$F,6,0)</f>
        <v>0</v>
      </c>
    </row>
    <row r="32" spans="1:24" ht="15" customHeight="1">
      <c r="A32" s="1329" t="s">
        <v>784</v>
      </c>
      <c r="B32" s="1329" t="s">
        <v>2055</v>
      </c>
      <c r="C32" s="1330"/>
      <c r="D32" s="1330"/>
      <c r="E32" s="1330"/>
      <c r="F32" s="1329" t="s">
        <v>2</v>
      </c>
      <c r="G32" s="1329" t="s">
        <v>785</v>
      </c>
      <c r="H32" s="1329" t="s">
        <v>3942</v>
      </c>
      <c r="I32" s="1331">
        <v>1</v>
      </c>
      <c r="J32" s="1331">
        <v>0</v>
      </c>
      <c r="K32" s="1331">
        <v>1</v>
      </c>
      <c r="L32" s="653" t="str">
        <f t="shared" si="2"/>
        <v>500</v>
      </c>
      <c r="M32" s="654" t="str">
        <f t="shared" si="0"/>
        <v>PROPRIETAIRES</v>
      </c>
      <c r="N32" s="655">
        <f>+IF(OR($Q32=Parametres!$G$2,$Q32=Parametres!$G$3),I32,C32)</f>
        <v>1</v>
      </c>
      <c r="O32" s="659">
        <f>+IF(OR($Q32=Parametres!$G$2,$Q32=Parametres!$G$3),J32,D32)</f>
        <v>0</v>
      </c>
      <c r="P32" s="655">
        <f>+IF(OR($Q32=Parametres!$G$2,$Q32=Parametres!$G$3),K32,E32)</f>
        <v>1</v>
      </c>
      <c r="Q32" s="654" t="str">
        <f t="shared" ref="Q32:S32" si="32">+F32</f>
        <v>1-Mémo</v>
      </c>
      <c r="R32" s="653" t="str">
        <f t="shared" si="32"/>
        <v>50</v>
      </c>
      <c r="S32" s="654" t="str">
        <f t="shared" si="32"/>
        <v>_</v>
      </c>
      <c r="T32" s="656" t="str">
        <f>+VLOOKUP($L32,Data_Validation!$A:$D,1,0)</f>
        <v>500</v>
      </c>
      <c r="U32" s="656">
        <f>+VLOOKUP($L32,Data_Validation!$A:$D,3,0)</f>
        <v>0</v>
      </c>
      <c r="V32" s="656">
        <f>+VLOOKUP($L32,Data_Validation!$A:$D,4,0)</f>
        <v>0</v>
      </c>
      <c r="W32" s="656" t="str">
        <f>+VLOOKUP($L32,Data_Validation!$A:$E,5,0)</f>
        <v>$</v>
      </c>
      <c r="X32" s="656">
        <f>+VLOOKUP($L32,Data_Validation!$A:$F,6,0)</f>
        <v>0</v>
      </c>
    </row>
    <row r="33" spans="1:24" ht="15" customHeight="1">
      <c r="A33" s="1329" t="s">
        <v>786</v>
      </c>
      <c r="B33" s="1329" t="s">
        <v>1113</v>
      </c>
      <c r="C33" s="1330"/>
      <c r="D33" s="1330"/>
      <c r="E33" s="1330"/>
      <c r="F33" s="1329" t="s">
        <v>2</v>
      </c>
      <c r="G33" s="1329" t="s">
        <v>785</v>
      </c>
      <c r="H33" s="1329" t="s">
        <v>3942</v>
      </c>
      <c r="I33" s="1331">
        <v>0.5</v>
      </c>
      <c r="J33" s="1331">
        <v>0</v>
      </c>
      <c r="K33" s="1331">
        <v>0.5</v>
      </c>
      <c r="L33" s="653" t="str">
        <f t="shared" si="2"/>
        <v>511</v>
      </c>
      <c r="M33" s="654" t="str">
        <f t="shared" si="0"/>
        <v>DIR. GENERAL NEUFS</v>
      </c>
      <c r="N33" s="655">
        <f>+IF(OR($Q33=Parametres!$G$2,$Q33=Parametres!$G$3),I33,C33)</f>
        <v>0.5</v>
      </c>
      <c r="O33" s="655">
        <f>+IF(OR($Q33=Parametres!$G$2,$Q33=Parametres!$G$3),J33,D33)</f>
        <v>0</v>
      </c>
      <c r="P33" s="655">
        <f>+IF(OR($Q33=Parametres!$G$2,$Q33=Parametres!$G$3),K33,E33)</f>
        <v>0.5</v>
      </c>
      <c r="Q33" s="654" t="str">
        <f t="shared" ref="Q33:S33" si="33">+F33</f>
        <v>1-Mémo</v>
      </c>
      <c r="R33" s="653" t="str">
        <f t="shared" si="33"/>
        <v>50</v>
      </c>
      <c r="S33" s="654" t="str">
        <f t="shared" si="33"/>
        <v>_</v>
      </c>
      <c r="T33" s="656" t="str">
        <f>+VLOOKUP($L33,Data_Validation!$A:$D,1,0)</f>
        <v>511</v>
      </c>
      <c r="U33" s="656">
        <f>+VLOOKUP($L33,Data_Validation!$A:$D,3,0)</f>
        <v>0</v>
      </c>
      <c r="V33" s="656">
        <f>+VLOOKUP($L33,Data_Validation!$A:$D,4,0)</f>
        <v>0</v>
      </c>
      <c r="W33" s="656" t="str">
        <f>+VLOOKUP($L33,Data_Validation!$A:$E,5,0)</f>
        <v>$</v>
      </c>
      <c r="X33" s="656">
        <f>+VLOOKUP($L33,Data_Validation!$A:$F,6,0)</f>
        <v>0</v>
      </c>
    </row>
    <row r="34" spans="1:24" ht="15.75" customHeight="1">
      <c r="A34" s="1329" t="s">
        <v>787</v>
      </c>
      <c r="B34" s="1329" t="s">
        <v>2087</v>
      </c>
      <c r="C34" s="1330"/>
      <c r="D34" s="1330"/>
      <c r="E34" s="1330"/>
      <c r="F34" s="1329" t="s">
        <v>2</v>
      </c>
      <c r="G34" s="1329" t="s">
        <v>785</v>
      </c>
      <c r="H34" s="1329" t="s">
        <v>3942</v>
      </c>
      <c r="I34" s="1331">
        <v>0.5</v>
      </c>
      <c r="J34" s="1331">
        <v>0</v>
      </c>
      <c r="K34" s="1331">
        <v>0.5</v>
      </c>
      <c r="L34" s="653" t="str">
        <f t="shared" si="2"/>
        <v>512</v>
      </c>
      <c r="M34" s="654" t="str">
        <f t="shared" si="0"/>
        <v>DIR. GENERAL USAGES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t="str">
        <f t="shared" si="34"/>
        <v>_</v>
      </c>
      <c r="T34" s="656" t="str">
        <f>+VLOOKUP($L34,Data_Validation!$A:$D,1,0)</f>
        <v>512</v>
      </c>
      <c r="U34" s="656">
        <f>+VLOOKUP($L34,Data_Validation!$A:$D,3,0)</f>
        <v>0</v>
      </c>
      <c r="V34" s="656">
        <f>+VLOOKUP($L34,Data_Validation!$A:$D,4,0)</f>
        <v>0</v>
      </c>
      <c r="W34" s="656" t="str">
        <f>+VLOOKUP($L34,Data_Validation!$A:$E,5,0)</f>
        <v>$</v>
      </c>
      <c r="X34" s="656">
        <f>+VLOOKUP($L34,Data_Validation!$A:$F,6,0)</f>
        <v>0</v>
      </c>
    </row>
    <row r="35" spans="1:24" ht="15" customHeight="1">
      <c r="A35" s="1329" t="s">
        <v>788</v>
      </c>
      <c r="B35" s="1329" t="s">
        <v>1120</v>
      </c>
      <c r="C35" s="1330"/>
      <c r="D35" s="1330"/>
      <c r="E35" s="1330"/>
      <c r="F35" s="1329" t="s">
        <v>2</v>
      </c>
      <c r="G35" s="1329" t="s">
        <v>785</v>
      </c>
      <c r="H35" s="1329" t="s">
        <v>3942</v>
      </c>
      <c r="I35" s="1331">
        <v>0.5</v>
      </c>
      <c r="J35" s="1331">
        <v>0</v>
      </c>
      <c r="K35" s="1331">
        <v>0.5</v>
      </c>
      <c r="L35" s="653" t="str">
        <f t="shared" si="2"/>
        <v>514</v>
      </c>
      <c r="M35" s="654" t="str">
        <f t="shared" si="0"/>
        <v>DIR. GENERAL SERVICE</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t="str">
        <f t="shared" si="35"/>
        <v>_</v>
      </c>
      <c r="T35" s="656" t="str">
        <f>+VLOOKUP($L35,Data_Validation!$A:$D,1,0)</f>
        <v>514</v>
      </c>
      <c r="U35" s="656">
        <f>+VLOOKUP($L35,Data_Validation!$A:$D,3,0)</f>
        <v>0</v>
      </c>
      <c r="V35" s="656">
        <f>+VLOOKUP($L35,Data_Validation!$A:$D,4,0)</f>
        <v>0</v>
      </c>
      <c r="W35" s="656" t="str">
        <f>+VLOOKUP($L35,Data_Validation!$A:$E,5,0)</f>
        <v>$</v>
      </c>
      <c r="X35" s="656">
        <f>+VLOOKUP($L35,Data_Validation!$A:$F,6,0)</f>
        <v>0</v>
      </c>
    </row>
    <row r="36" spans="1:24" ht="15" customHeight="1">
      <c r="A36" s="1329" t="s">
        <v>789</v>
      </c>
      <c r="B36" s="1329" t="s">
        <v>2110</v>
      </c>
      <c r="C36" s="1330"/>
      <c r="D36" s="1330"/>
      <c r="E36" s="1330"/>
      <c r="F36" s="1329" t="s">
        <v>2</v>
      </c>
      <c r="G36" s="1329" t="s">
        <v>785</v>
      </c>
      <c r="H36" s="1329" t="s">
        <v>3942</v>
      </c>
      <c r="I36" s="1331">
        <v>0.5</v>
      </c>
      <c r="J36" s="1331">
        <v>0</v>
      </c>
      <c r="K36" s="1331">
        <v>0.5</v>
      </c>
      <c r="L36" s="653" t="str">
        <f t="shared" si="2"/>
        <v>517</v>
      </c>
      <c r="M36" s="654" t="str">
        <f t="shared" si="0"/>
        <v>DIR. GENERAL PIECES</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t="str">
        <f t="shared" si="36"/>
        <v>_</v>
      </c>
      <c r="T36" s="656" t="str">
        <f>+VLOOKUP($L36,Data_Validation!$A:$D,1,0)</f>
        <v>517</v>
      </c>
      <c r="U36" s="656">
        <f>+VLOOKUP($L36,Data_Validation!$A:$D,3,0)</f>
        <v>0</v>
      </c>
      <c r="V36" s="656">
        <f>+VLOOKUP($L36,Data_Validation!$A:$D,4,0)</f>
        <v>0</v>
      </c>
      <c r="W36" s="656" t="str">
        <f>+VLOOKUP($L36,Data_Validation!$A:$E,5,0)</f>
        <v>$</v>
      </c>
      <c r="X36" s="656">
        <f>+VLOOKUP($L36,Data_Validation!$A:$F,6,0)</f>
        <v>0</v>
      </c>
    </row>
    <row r="37" spans="1:24" ht="15" customHeight="1">
      <c r="A37" s="1329" t="s">
        <v>790</v>
      </c>
      <c r="B37" s="1329" t="s">
        <v>2119</v>
      </c>
      <c r="C37" s="1330"/>
      <c r="D37" s="1330"/>
      <c r="E37" s="1330"/>
      <c r="F37" s="1329" t="s">
        <v>2</v>
      </c>
      <c r="G37" s="1329" t="s">
        <v>785</v>
      </c>
      <c r="H37" s="1329" t="s">
        <v>3942</v>
      </c>
      <c r="I37" s="1331">
        <v>1.5</v>
      </c>
      <c r="J37" s="1331">
        <v>0</v>
      </c>
      <c r="K37" s="1331">
        <v>1.5</v>
      </c>
      <c r="L37" s="653" t="str">
        <f t="shared" si="2"/>
        <v>521</v>
      </c>
      <c r="M37" s="654" t="str">
        <f t="shared" si="0"/>
        <v>DIR. SERVICE NEUFS</v>
      </c>
      <c r="N37" s="655">
        <f>+IF(OR($Q37=Parametres!$G$2,$Q37=Parametres!$G$3),I37,C37)</f>
        <v>1.5</v>
      </c>
      <c r="O37" s="655">
        <f>+IF(OR($Q37=Parametres!$G$2,$Q37=Parametres!$G$3),J37,D37)</f>
        <v>0</v>
      </c>
      <c r="P37" s="655">
        <f>+IF(OR($Q37=Parametres!$G$2,$Q37=Parametres!$G$3),K37,E37)</f>
        <v>1.5</v>
      </c>
      <c r="Q37" s="654" t="str">
        <f t="shared" ref="Q37:S37" si="37">+F37</f>
        <v>1-Mémo</v>
      </c>
      <c r="R37" s="653" t="str">
        <f t="shared" si="37"/>
        <v>50</v>
      </c>
      <c r="S37" s="654" t="str">
        <f t="shared" si="37"/>
        <v>_</v>
      </c>
      <c r="T37" s="656" t="str">
        <f>+VLOOKUP($L37,Data_Validation!$A:$D,1,0)</f>
        <v>521</v>
      </c>
      <c r="U37" s="656">
        <f>+VLOOKUP($L37,Data_Validation!$A:$D,3,0)</f>
        <v>0</v>
      </c>
      <c r="V37" s="656">
        <f>+VLOOKUP($L37,Data_Validation!$A:$D,4,0)</f>
        <v>0</v>
      </c>
      <c r="W37" s="656" t="str">
        <f>+VLOOKUP($L37,Data_Validation!$A:$E,5,0)</f>
        <v>$</v>
      </c>
      <c r="X37" s="656">
        <f>+VLOOKUP($L37,Data_Validation!$A:$F,6,0)</f>
        <v>0</v>
      </c>
    </row>
    <row r="38" spans="1:24" ht="15" customHeight="1">
      <c r="A38" s="1329" t="s">
        <v>791</v>
      </c>
      <c r="B38" s="1329" t="s">
        <v>2128</v>
      </c>
      <c r="C38" s="1330"/>
      <c r="D38" s="1330"/>
      <c r="E38" s="1330"/>
      <c r="F38" s="1329" t="s">
        <v>2</v>
      </c>
      <c r="G38" s="1329" t="s">
        <v>785</v>
      </c>
      <c r="H38" s="1329" t="s">
        <v>3942</v>
      </c>
      <c r="I38" s="1331">
        <v>1.5</v>
      </c>
      <c r="J38" s="1331">
        <v>0</v>
      </c>
      <c r="K38" s="1331">
        <v>1.5</v>
      </c>
      <c r="L38" s="653" t="str">
        <f t="shared" si="2"/>
        <v>522</v>
      </c>
      <c r="M38" s="654" t="str">
        <f t="shared" si="0"/>
        <v>DIR. SERVICE USAGES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t="str">
        <f t="shared" si="38"/>
        <v>_</v>
      </c>
      <c r="T38" s="656" t="str">
        <f>+VLOOKUP($L38,Data_Validation!$A:$D,1,0)</f>
        <v>522</v>
      </c>
      <c r="U38" s="656">
        <f>+VLOOKUP($L38,Data_Validation!$A:$D,3,0)</f>
        <v>0</v>
      </c>
      <c r="V38" s="656">
        <f>+VLOOKUP($L38,Data_Validation!$A:$D,4,0)</f>
        <v>0</v>
      </c>
      <c r="W38" s="656" t="str">
        <f>+VLOOKUP($L38,Data_Validation!$A:$E,5,0)</f>
        <v>$</v>
      </c>
      <c r="X38" s="656">
        <f>+VLOOKUP($L38,Data_Validation!$A:$F,6,0)</f>
        <v>0</v>
      </c>
    </row>
    <row r="39" spans="1:24" ht="15" customHeight="1">
      <c r="A39" s="1329" t="s">
        <v>792</v>
      </c>
      <c r="B39" s="1329" t="s">
        <v>2131</v>
      </c>
      <c r="C39" s="1330"/>
      <c r="D39" s="1330"/>
      <c r="E39" s="1330"/>
      <c r="F39" s="1329" t="s">
        <v>2</v>
      </c>
      <c r="G39" s="1329" t="s">
        <v>785</v>
      </c>
      <c r="H39" s="1329" t="s">
        <v>3942</v>
      </c>
      <c r="I39" s="1331">
        <v>1</v>
      </c>
      <c r="J39" s="1331">
        <v>0</v>
      </c>
      <c r="K39" s="1331">
        <v>1</v>
      </c>
      <c r="L39" s="653" t="str">
        <f t="shared" si="2"/>
        <v>524</v>
      </c>
      <c r="M39" s="654" t="str">
        <f t="shared" si="0"/>
        <v>DIR. SERVICE SERVICE</v>
      </c>
      <c r="N39" s="655">
        <f>+IF(OR($Q39=Parametres!$G$2,$Q39=Parametres!$G$3),I39,C39)</f>
        <v>1</v>
      </c>
      <c r="O39" s="659">
        <f>+IF(OR($Q39=Parametres!$G$2,$Q39=Parametres!$G$3),J39,D39)</f>
        <v>0</v>
      </c>
      <c r="P39" s="655">
        <f>+IF(OR($Q39=Parametres!$G$2,$Q39=Parametres!$G$3),K39,E39)</f>
        <v>1</v>
      </c>
      <c r="Q39" s="654" t="str">
        <f t="shared" ref="Q39:S39" si="39">+F39</f>
        <v>1-Mémo</v>
      </c>
      <c r="R39" s="653" t="str">
        <f t="shared" si="39"/>
        <v>50</v>
      </c>
      <c r="S39" s="654" t="str">
        <f t="shared" si="39"/>
        <v>_</v>
      </c>
      <c r="T39" s="656" t="str">
        <f>+VLOOKUP($L39,Data_Validation!$A:$D,1,0)</f>
        <v>524</v>
      </c>
      <c r="U39" s="656">
        <f>+VLOOKUP($L39,Data_Validation!$A:$D,3,0)</f>
        <v>0</v>
      </c>
      <c r="V39" s="656">
        <f>+VLOOKUP($L39,Data_Validation!$A:$D,4,0)</f>
        <v>0</v>
      </c>
      <c r="W39" s="656" t="str">
        <f>+VLOOKUP($L39,Data_Validation!$A:$E,5,0)</f>
        <v>$</v>
      </c>
      <c r="X39" s="656">
        <f>+VLOOKUP($L39,Data_Validation!$A:$F,6,0)</f>
        <v>0</v>
      </c>
    </row>
    <row r="40" spans="1:24" ht="15.75" customHeight="1">
      <c r="A40" s="1329" t="s">
        <v>793</v>
      </c>
      <c r="B40" s="1329" t="s">
        <v>2133</v>
      </c>
      <c r="C40" s="1330"/>
      <c r="D40" s="1330"/>
      <c r="E40" s="1330"/>
      <c r="F40" s="1329" t="s">
        <v>2</v>
      </c>
      <c r="G40" s="1329" t="s">
        <v>785</v>
      </c>
      <c r="H40" s="1329" t="s">
        <v>3942</v>
      </c>
      <c r="I40" s="1331">
        <v>1</v>
      </c>
      <c r="J40" s="1331">
        <v>0</v>
      </c>
      <c r="K40" s="1331">
        <v>1</v>
      </c>
      <c r="L40" s="653" t="str">
        <f t="shared" si="2"/>
        <v>527</v>
      </c>
      <c r="M40" s="654" t="str">
        <f t="shared" si="0"/>
        <v>DIR. SERVICE PIECES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527</v>
      </c>
      <c r="U40" s="656">
        <f>+VLOOKUP($L40,Data_Validation!$A:$D,3,0)</f>
        <v>0</v>
      </c>
      <c r="V40" s="656">
        <f>+VLOOKUP($L40,Data_Validation!$A:$D,4,0)</f>
        <v>0</v>
      </c>
      <c r="W40" s="656" t="str">
        <f>+VLOOKUP($L40,Data_Validation!$A:$E,5,0)</f>
        <v>$</v>
      </c>
      <c r="X40" s="656">
        <f>+VLOOKUP($L40,Data_Validation!$A:$F,6,0)</f>
        <v>0</v>
      </c>
    </row>
    <row r="41" spans="1:24" ht="15" customHeight="1">
      <c r="A41" s="1329" t="s">
        <v>794</v>
      </c>
      <c r="B41" s="1329" t="s">
        <v>2157</v>
      </c>
      <c r="C41" s="1330"/>
      <c r="D41" s="1330"/>
      <c r="E41" s="1330"/>
      <c r="F41" s="1329" t="s">
        <v>2</v>
      </c>
      <c r="G41" s="1329" t="s">
        <v>3329</v>
      </c>
      <c r="H41" s="1329" t="s">
        <v>3942</v>
      </c>
      <c r="I41" s="1331">
        <v>6</v>
      </c>
      <c r="J41" s="1331">
        <v>0</v>
      </c>
      <c r="K41" s="1331">
        <v>6</v>
      </c>
      <c r="L41" s="653" t="str">
        <f t="shared" si="2"/>
        <v>541</v>
      </c>
      <c r="M41" s="654" t="str">
        <f t="shared" si="0"/>
        <v>VW REP. DES VENTES - NEUF</v>
      </c>
      <c r="N41" s="655">
        <f>+IF(OR($Q41=Parametres!$G$2,$Q41=Parametres!$G$3),I41,C41)</f>
        <v>6</v>
      </c>
      <c r="O41" s="659">
        <f>+IF(OR($Q41=Parametres!$G$2,$Q41=Parametres!$G$3),J41,D41)</f>
        <v>0</v>
      </c>
      <c r="P41" s="655">
        <f>+IF(OR($Q41=Parametres!$G$2,$Q41=Parametres!$G$3),K41,E41)</f>
        <v>6</v>
      </c>
      <c r="Q41" s="654" t="str">
        <f t="shared" ref="Q41:S41" si="41">+F41</f>
        <v>1-Mémo</v>
      </c>
      <c r="R41" s="653" t="str">
        <f t="shared" si="41"/>
        <v>54</v>
      </c>
      <c r="S41" s="654" t="str">
        <f t="shared" si="41"/>
        <v>_</v>
      </c>
      <c r="T41" s="656" t="str">
        <f>+VLOOKUP($L41,Data_Validation!$A:$D,1,0)</f>
        <v>541</v>
      </c>
      <c r="U41" s="656">
        <f>+VLOOKUP($L41,Data_Validation!$A:$D,3,0)</f>
        <v>0</v>
      </c>
      <c r="V41" s="656">
        <f>+VLOOKUP($L41,Data_Validation!$A:$D,4,0)</f>
        <v>0</v>
      </c>
      <c r="W41" s="656" t="str">
        <f>+VLOOKUP($L41,Data_Validation!$A:$E,5,0)</f>
        <v>$</v>
      </c>
      <c r="X41" s="656">
        <f>+VLOOKUP($L41,Data_Validation!$A:$F,6,0)</f>
        <v>0</v>
      </c>
    </row>
    <row r="42" spans="1:24" ht="15" customHeight="1">
      <c r="A42" s="1329" t="s">
        <v>795</v>
      </c>
      <c r="B42" s="1329" t="s">
        <v>2163</v>
      </c>
      <c r="C42" s="1330"/>
      <c r="D42" s="1330"/>
      <c r="E42" s="1330"/>
      <c r="F42" s="1329" t="s">
        <v>2</v>
      </c>
      <c r="G42" s="1329" t="s">
        <v>785</v>
      </c>
      <c r="H42" s="1329" t="s">
        <v>3942</v>
      </c>
      <c r="I42" s="1331">
        <v>3</v>
      </c>
      <c r="J42" s="1331">
        <v>0</v>
      </c>
      <c r="K42" s="1331">
        <v>3</v>
      </c>
      <c r="L42" s="653" t="str">
        <f t="shared" si="2"/>
        <v>542</v>
      </c>
      <c r="M42" s="654" t="str">
        <f t="shared" si="0"/>
        <v>VW REP. DES VENTES - OCC.</v>
      </c>
      <c r="N42" s="655">
        <f>+IF(OR($Q42=Parametres!$G$2,$Q42=Parametres!$G$3),I42,C42)</f>
        <v>3</v>
      </c>
      <c r="O42" s="655">
        <f>+IF(OR($Q42=Parametres!$G$2,$Q42=Parametres!$G$3),J42,D42)</f>
        <v>0</v>
      </c>
      <c r="P42" s="655">
        <f>+IF(OR($Q42=Parametres!$G$2,$Q42=Parametres!$G$3),K42,E42)</f>
        <v>3</v>
      </c>
      <c r="Q42" s="654" t="str">
        <f t="shared" ref="Q42:S42" si="42">+F42</f>
        <v>1-Mémo</v>
      </c>
      <c r="R42" s="653" t="str">
        <f t="shared" si="42"/>
        <v>50</v>
      </c>
      <c r="S42" s="654" t="str">
        <f t="shared" si="42"/>
        <v>_</v>
      </c>
      <c r="T42" s="656" t="str">
        <f>+VLOOKUP($L42,Data_Validation!$A:$D,1,0)</f>
        <v>542</v>
      </c>
      <c r="U42" s="656">
        <f>+VLOOKUP($L42,Data_Validation!$A:$D,3,0)</f>
        <v>0</v>
      </c>
      <c r="V42" s="656">
        <f>+VLOOKUP($L42,Data_Validation!$A:$D,4,0)</f>
        <v>0</v>
      </c>
      <c r="W42" s="656" t="str">
        <f>+VLOOKUP($L42,Data_Validation!$A:$E,5,0)</f>
        <v>$</v>
      </c>
      <c r="X42" s="656">
        <f>+VLOOKUP($L42,Data_Validation!$A:$F,6,0)</f>
        <v>0</v>
      </c>
    </row>
    <row r="43" spans="1:24" ht="15" customHeight="1">
      <c r="A43" s="1329" t="s">
        <v>796</v>
      </c>
      <c r="B43" s="1329" t="s">
        <v>2178</v>
      </c>
      <c r="C43" s="1330"/>
      <c r="D43" s="1330"/>
      <c r="E43" s="1330"/>
      <c r="F43" s="1329" t="s">
        <v>2</v>
      </c>
      <c r="G43" s="1329" t="s">
        <v>785</v>
      </c>
      <c r="H43" s="1329" t="s">
        <v>3942</v>
      </c>
      <c r="I43" s="1331">
        <v>2</v>
      </c>
      <c r="J43" s="1331">
        <v>0</v>
      </c>
      <c r="K43" s="1331">
        <v>2</v>
      </c>
      <c r="L43" s="653" t="str">
        <f t="shared" si="2"/>
        <v>551</v>
      </c>
      <c r="M43" s="654" t="str">
        <f t="shared" si="0"/>
        <v>DIR. COMMERCIAL NEUFS</v>
      </c>
      <c r="N43" s="655">
        <f>+IF(OR($Q43=Parametres!$G$2,$Q43=Parametres!$G$3),I43,C43)</f>
        <v>2</v>
      </c>
      <c r="O43" s="655">
        <f>+IF(OR($Q43=Parametres!$G$2,$Q43=Parametres!$G$3),J43,D43)</f>
        <v>0</v>
      </c>
      <c r="P43" s="655">
        <f>+IF(OR($Q43=Parametres!$G$2,$Q43=Parametres!$G$3),K43,E43)</f>
        <v>2</v>
      </c>
      <c r="Q43" s="654" t="str">
        <f t="shared" ref="Q43:S43" si="43">+F43</f>
        <v>1-Mémo</v>
      </c>
      <c r="R43" s="653" t="str">
        <f t="shared" si="43"/>
        <v>50</v>
      </c>
      <c r="S43" s="654" t="str">
        <f t="shared" si="43"/>
        <v>_</v>
      </c>
      <c r="T43" s="656" t="str">
        <f>+VLOOKUP($L43,Data_Validation!$A:$D,1,0)</f>
        <v>551</v>
      </c>
      <c r="U43" s="656">
        <f>+VLOOKUP($L43,Data_Validation!$A:$D,3,0)</f>
        <v>0</v>
      </c>
      <c r="V43" s="656">
        <f>+VLOOKUP($L43,Data_Validation!$A:$D,4,0)</f>
        <v>0</v>
      </c>
      <c r="W43" s="656" t="str">
        <f>+VLOOKUP($L43,Data_Validation!$A:$E,5,0)</f>
        <v>$</v>
      </c>
      <c r="X43" s="656">
        <f>+VLOOKUP($L43,Data_Validation!$A:$F,6,0)</f>
        <v>0</v>
      </c>
    </row>
    <row r="44" spans="1:24" ht="15.75" customHeight="1">
      <c r="A44" s="1329" t="s">
        <v>797</v>
      </c>
      <c r="B44" s="1329" t="s">
        <v>2181</v>
      </c>
      <c r="C44" s="1330"/>
      <c r="D44" s="1330"/>
      <c r="E44" s="1330"/>
      <c r="F44" s="1329" t="s">
        <v>2</v>
      </c>
      <c r="G44" s="1329" t="s">
        <v>785</v>
      </c>
      <c r="H44" s="1329" t="s">
        <v>3942</v>
      </c>
      <c r="I44" s="1331">
        <v>1</v>
      </c>
      <c r="J44" s="1331">
        <v>0</v>
      </c>
      <c r="K44" s="1331">
        <v>1</v>
      </c>
      <c r="L44" s="653" t="str">
        <f t="shared" si="2"/>
        <v>552</v>
      </c>
      <c r="M44" s="654" t="str">
        <f t="shared" si="0"/>
        <v>DIR. COMMERCIAL USAGES</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552</v>
      </c>
      <c r="U44" s="656">
        <f>+VLOOKUP($L44,Data_Validation!$A:$D,3,0)</f>
        <v>0</v>
      </c>
      <c r="V44" s="656">
        <f>+VLOOKUP($L44,Data_Validation!$A:$D,4,0)</f>
        <v>0</v>
      </c>
      <c r="W44" s="656" t="str">
        <f>+VLOOKUP($L44,Data_Validation!$A:$E,5,0)</f>
        <v>$</v>
      </c>
      <c r="X44" s="656">
        <f>+VLOOKUP($L44,Data_Validation!$A:$F,6,0)</f>
        <v>0</v>
      </c>
    </row>
    <row r="45" spans="1:24" ht="15" customHeight="1">
      <c r="A45" s="1329" t="s">
        <v>798</v>
      </c>
      <c r="B45" s="1329" t="s">
        <v>3354</v>
      </c>
      <c r="C45" s="1330"/>
      <c r="D45" s="1330"/>
      <c r="E45" s="1330"/>
      <c r="F45" s="1329" t="s">
        <v>2</v>
      </c>
      <c r="G45" s="1329" t="s">
        <v>785</v>
      </c>
      <c r="H45" s="1329" t="s">
        <v>3942</v>
      </c>
      <c r="I45" s="1331">
        <v>1</v>
      </c>
      <c r="J45" s="1331">
        <v>0</v>
      </c>
      <c r="K45" s="1331">
        <v>1</v>
      </c>
      <c r="L45" s="653" t="str">
        <f t="shared" si="2"/>
        <v>564</v>
      </c>
      <c r="M45" s="654" t="str">
        <f t="shared" si="0"/>
        <v>CONTREMAITRE SERVICE</v>
      </c>
      <c r="N45" s="655">
        <f>+IF(OR($Q45=Parametres!$G$2,$Q45=Parametres!$G$3),I45,C45)</f>
        <v>1</v>
      </c>
      <c r="O45" s="1097">
        <f>+IF(OR($Q45=Parametres!$G$2,$Q45=Parametres!$G$3),J45,D45)</f>
        <v>0</v>
      </c>
      <c r="P45" s="655">
        <f>+IF(OR($Q45=Parametres!$G$2,$Q45=Parametres!$G$3),K45,E45)</f>
        <v>1</v>
      </c>
      <c r="Q45" s="654" t="str">
        <f t="shared" ref="Q45:S45" si="45">+F45</f>
        <v>1-Mémo</v>
      </c>
      <c r="R45" s="653" t="str">
        <f t="shared" si="45"/>
        <v>50</v>
      </c>
      <c r="S45" s="654" t="str">
        <f t="shared" si="45"/>
        <v>_</v>
      </c>
      <c r="T45" s="656" t="str">
        <f>+VLOOKUP($L45,Data_Validation!$A:$D,1,0)</f>
        <v>564</v>
      </c>
      <c r="U45" s="656">
        <f>+VLOOKUP($L45,Data_Validation!$A:$D,3,0)</f>
        <v>0</v>
      </c>
      <c r="V45" s="656">
        <f>+VLOOKUP($L45,Data_Validation!$A:$D,4,0)</f>
        <v>0</v>
      </c>
      <c r="W45" s="656" t="str">
        <f>+VLOOKUP($L45,Data_Validation!$A:$E,5,0)</f>
        <v>$</v>
      </c>
      <c r="X45" s="656">
        <f>+VLOOKUP($L45,Data_Validation!$A:$F,6,0)</f>
        <v>0</v>
      </c>
    </row>
    <row r="46" spans="1:24" ht="15" customHeight="1">
      <c r="A46" s="1329" t="s">
        <v>799</v>
      </c>
      <c r="B46" s="1329" t="s">
        <v>2276</v>
      </c>
      <c r="C46" s="1330"/>
      <c r="D46" s="1330"/>
      <c r="E46" s="1330"/>
      <c r="F46" s="1329" t="s">
        <v>2</v>
      </c>
      <c r="G46" s="1329" t="s">
        <v>3330</v>
      </c>
      <c r="H46" s="1329" t="s">
        <v>3942</v>
      </c>
      <c r="I46" s="1331">
        <v>4</v>
      </c>
      <c r="J46" s="1331">
        <v>0</v>
      </c>
      <c r="K46" s="1331">
        <v>4</v>
      </c>
      <c r="L46" s="653" t="str">
        <f t="shared" si="2"/>
        <v>614</v>
      </c>
      <c r="M46" s="654" t="str">
        <f t="shared" si="0"/>
        <v>VW CONSEILLERS SERVICE -SERVICE</v>
      </c>
      <c r="N46" s="655">
        <f>+IF(OR($Q46=Parametres!$G$2,$Q46=Parametres!$G$3),I46,C46)</f>
        <v>4</v>
      </c>
      <c r="O46" s="1097">
        <f>+IF(OR($Q46=Parametres!$G$2,$Q46=Parametres!$G$3),J46,D46)</f>
        <v>0</v>
      </c>
      <c r="P46" s="655">
        <f>+IF(OR($Q46=Parametres!$G$2,$Q46=Parametres!$G$3),K46,E46)</f>
        <v>4</v>
      </c>
      <c r="Q46" s="654" t="str">
        <f t="shared" ref="Q46:S46" si="46">+F46</f>
        <v>1-Mémo</v>
      </c>
      <c r="R46" s="653" t="str">
        <f t="shared" si="46"/>
        <v>61</v>
      </c>
      <c r="S46" s="654" t="str">
        <f t="shared" si="46"/>
        <v>_</v>
      </c>
      <c r="T46" s="656" t="str">
        <f>+VLOOKUP($L46,Data_Validation!$A:$D,1,0)</f>
        <v>614</v>
      </c>
      <c r="U46" s="656">
        <f>+VLOOKUP($L46,Data_Validation!$A:$D,3,0)</f>
        <v>0</v>
      </c>
      <c r="V46" s="656">
        <f>+VLOOKUP($L46,Data_Validation!$A:$D,4,0)</f>
        <v>0</v>
      </c>
      <c r="W46" s="656" t="str">
        <f>+VLOOKUP($L46,Data_Validation!$A:$E,5,0)</f>
        <v>$</v>
      </c>
      <c r="X46" s="656">
        <f>+VLOOKUP($L46,Data_Validation!$A:$F,6,0)</f>
        <v>0</v>
      </c>
    </row>
    <row r="47" spans="1:24" ht="15" customHeight="1">
      <c r="A47" s="1329" t="s">
        <v>800</v>
      </c>
      <c r="B47" s="1329" t="s">
        <v>1208</v>
      </c>
      <c r="C47" s="1330"/>
      <c r="D47" s="1330"/>
      <c r="E47" s="1330"/>
      <c r="F47" s="1329" t="s">
        <v>2</v>
      </c>
      <c r="G47" s="1329" t="s">
        <v>3330</v>
      </c>
      <c r="H47" s="1329" t="s">
        <v>3942</v>
      </c>
      <c r="I47" s="1331">
        <v>1</v>
      </c>
      <c r="J47" s="1331">
        <v>0</v>
      </c>
      <c r="K47" s="1331">
        <v>1</v>
      </c>
      <c r="L47" s="653" t="str">
        <f t="shared" si="2"/>
        <v>615</v>
      </c>
      <c r="M47" s="654" t="str">
        <f t="shared" si="0"/>
        <v>VW CONSEILLERS SERVICE - PIEC. &amp; CARR.&lt;</v>
      </c>
      <c r="N47" s="655">
        <f>+IF(OR($Q47=Parametres!$G$2,$Q47=Parametres!$G$3),I47,C47)</f>
        <v>1</v>
      </c>
      <c r="O47" s="655">
        <f>+IF(OR($Q47=Parametres!$G$2,$Q47=Parametres!$G$3),J47,D47)</f>
        <v>0</v>
      </c>
      <c r="P47" s="655">
        <f>+IF(OR($Q47=Parametres!$G$2,$Q47=Parametres!$G$3),K47,E47)</f>
        <v>1</v>
      </c>
      <c r="Q47" s="654" t="str">
        <f t="shared" ref="Q47:S47" si="47">+F47</f>
        <v>1-Mémo</v>
      </c>
      <c r="R47" s="653" t="str">
        <f t="shared" si="47"/>
        <v>61</v>
      </c>
      <c r="S47" s="654" t="str">
        <f t="shared" si="47"/>
        <v>_</v>
      </c>
      <c r="T47" s="656" t="str">
        <f>+VLOOKUP($L47,Data_Validation!$A:$D,1,0)</f>
        <v>615</v>
      </c>
      <c r="U47" s="656">
        <f>+VLOOKUP($L47,Data_Validation!$A:$D,3,0)</f>
        <v>0</v>
      </c>
      <c r="V47" s="656">
        <f>+VLOOKUP($L47,Data_Validation!$A:$D,4,0)</f>
        <v>0</v>
      </c>
      <c r="W47" s="656" t="str">
        <f>+VLOOKUP($L47,Data_Validation!$A:$E,5,0)</f>
        <v>$</v>
      </c>
      <c r="X47" s="656">
        <f>+VLOOKUP($L47,Data_Validation!$A:$F,6,0)</f>
        <v>0</v>
      </c>
    </row>
    <row r="48" spans="1:24" ht="15.75" customHeight="1">
      <c r="A48" s="1329" t="s">
        <v>801</v>
      </c>
      <c r="B48" s="1329" t="s">
        <v>2337</v>
      </c>
      <c r="C48" s="1330"/>
      <c r="D48" s="1330"/>
      <c r="E48" s="1330"/>
      <c r="F48" s="1329" t="s">
        <v>2</v>
      </c>
      <c r="G48" s="1329" t="s">
        <v>785</v>
      </c>
      <c r="H48" s="1329" t="s">
        <v>3942</v>
      </c>
      <c r="I48" s="1331">
        <v>1</v>
      </c>
      <c r="J48" s="1331">
        <v>0</v>
      </c>
      <c r="K48" s="1331">
        <v>1</v>
      </c>
      <c r="L48" s="653" t="str">
        <f t="shared" si="2"/>
        <v>621</v>
      </c>
      <c r="M48" s="654" t="str">
        <f t="shared" si="0"/>
        <v>LAVEURS NEUFS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621</v>
      </c>
      <c r="U48" s="656">
        <f>+VLOOKUP($L48,Data_Validation!$A:$D,3,0)</f>
        <v>0</v>
      </c>
      <c r="V48" s="656">
        <f>+VLOOKUP($L48,Data_Validation!$A:$D,4,0)</f>
        <v>0</v>
      </c>
      <c r="W48" s="656" t="str">
        <f>+VLOOKUP($L48,Data_Validation!$A:$E,5,0)</f>
        <v>$</v>
      </c>
      <c r="X48" s="656">
        <f>+VLOOKUP($L48,Data_Validation!$A:$F,6,0)</f>
        <v>0</v>
      </c>
    </row>
    <row r="49" spans="1:24" ht="15" customHeight="1">
      <c r="A49" s="1329" t="s">
        <v>802</v>
      </c>
      <c r="B49" s="1329" t="s">
        <v>2346</v>
      </c>
      <c r="C49" s="1330"/>
      <c r="D49" s="1330"/>
      <c r="E49" s="1330"/>
      <c r="F49" s="1329" t="s">
        <v>2</v>
      </c>
      <c r="G49" s="1329" t="s">
        <v>785</v>
      </c>
      <c r="H49" s="1329" t="s">
        <v>3942</v>
      </c>
      <c r="I49" s="1331">
        <v>1</v>
      </c>
      <c r="J49" s="1331">
        <v>0</v>
      </c>
      <c r="K49" s="1331">
        <v>1</v>
      </c>
      <c r="L49" s="653" t="str">
        <f t="shared" si="2"/>
        <v>622</v>
      </c>
      <c r="M49" s="654" t="str">
        <f t="shared" si="0"/>
        <v>LAVEURS USAGES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622</v>
      </c>
      <c r="U49" s="656">
        <f>+VLOOKUP($L49,Data_Validation!$A:$D,3,0)</f>
        <v>0</v>
      </c>
      <c r="V49" s="656">
        <f>+VLOOKUP($L49,Data_Validation!$A:$D,4,0)</f>
        <v>0</v>
      </c>
      <c r="W49" s="656" t="str">
        <f>+VLOOKUP($L49,Data_Validation!$A:$E,5,0)</f>
        <v>$</v>
      </c>
      <c r="X49" s="656">
        <f>+VLOOKUP($L49,Data_Validation!$A:$F,6,0)</f>
        <v>0</v>
      </c>
    </row>
    <row r="50" spans="1:24" ht="15" customHeight="1">
      <c r="A50" s="1329" t="s">
        <v>803</v>
      </c>
      <c r="B50" s="1329" t="s">
        <v>2371</v>
      </c>
      <c r="C50" s="1330"/>
      <c r="D50" s="1330"/>
      <c r="E50" s="1330"/>
      <c r="F50" s="1329" t="s">
        <v>2</v>
      </c>
      <c r="G50" s="1329" t="s">
        <v>785</v>
      </c>
      <c r="H50" s="1329" t="s">
        <v>3942</v>
      </c>
      <c r="I50" s="1331">
        <v>7</v>
      </c>
      <c r="J50" s="1331">
        <v>0</v>
      </c>
      <c r="K50" s="1331">
        <v>7</v>
      </c>
      <c r="L50" s="653" t="str">
        <f t="shared" si="2"/>
        <v>624</v>
      </c>
      <c r="M50" s="654" t="str">
        <f t="shared" si="0"/>
        <v>LAVEURS SERVICE</v>
      </c>
      <c r="N50" s="655">
        <f>+IF(OR($Q50=Parametres!$G$2,$Q50=Parametres!$G$3),I50,C50)</f>
        <v>7</v>
      </c>
      <c r="O50" s="655">
        <f>+IF(OR($Q50=Parametres!$G$2,$Q50=Parametres!$G$3),J50,D50)</f>
        <v>0</v>
      </c>
      <c r="P50" s="655">
        <f>+IF(OR($Q50=Parametres!$G$2,$Q50=Parametres!$G$3),K50,E50)</f>
        <v>7</v>
      </c>
      <c r="Q50" s="654" t="str">
        <f t="shared" ref="Q50:S50" si="50">+F50</f>
        <v>1-Mémo</v>
      </c>
      <c r="R50" s="653" t="str">
        <f t="shared" si="50"/>
        <v>50</v>
      </c>
      <c r="S50" s="654" t="str">
        <f t="shared" si="50"/>
        <v>_</v>
      </c>
      <c r="T50" s="656" t="str">
        <f>+VLOOKUP($L50,Data_Validation!$A:$D,1,0)</f>
        <v>624</v>
      </c>
      <c r="U50" s="656">
        <f>+VLOOKUP($L50,Data_Validation!$A:$D,3,0)</f>
        <v>0</v>
      </c>
      <c r="V50" s="656">
        <f>+VLOOKUP($L50,Data_Validation!$A:$D,4,0)</f>
        <v>0</v>
      </c>
      <c r="W50" s="656" t="str">
        <f>+VLOOKUP($L50,Data_Validation!$A:$E,5,0)</f>
        <v>$</v>
      </c>
      <c r="X50" s="656">
        <f>+VLOOKUP($L50,Data_Validation!$A:$F,6,0)</f>
        <v>0</v>
      </c>
    </row>
    <row r="51" spans="1:24" ht="15" customHeight="1">
      <c r="A51" s="1329" t="s">
        <v>804</v>
      </c>
      <c r="B51" s="1329" t="s">
        <v>2469</v>
      </c>
      <c r="C51" s="1330"/>
      <c r="D51" s="1330"/>
      <c r="E51" s="1330"/>
      <c r="F51" s="1329" t="s">
        <v>2</v>
      </c>
      <c r="G51" s="1329" t="s">
        <v>3331</v>
      </c>
      <c r="H51" s="1329" t="s">
        <v>3942</v>
      </c>
      <c r="I51" s="1331">
        <v>12</v>
      </c>
      <c r="J51" s="1331">
        <v>0</v>
      </c>
      <c r="K51" s="1331">
        <v>12</v>
      </c>
      <c r="L51" s="653" t="str">
        <f t="shared" si="2"/>
        <v>644</v>
      </c>
      <c r="M51" s="654" t="str">
        <f t="shared" si="0"/>
        <v>VW TECHNICIENS - SERVICE</v>
      </c>
      <c r="N51" s="655">
        <f>+IF(OR($Q51=Parametres!$G$2,$Q51=Parametres!$G$3),I51,C51)</f>
        <v>12</v>
      </c>
      <c r="O51" s="655">
        <f>+IF(OR($Q51=Parametres!$G$2,$Q51=Parametres!$G$3),J51,D51)</f>
        <v>0</v>
      </c>
      <c r="P51" s="655">
        <f>+IF(OR($Q51=Parametres!$G$2,$Q51=Parametres!$G$3),K51,E51)</f>
        <v>12</v>
      </c>
      <c r="Q51" s="654" t="str">
        <f t="shared" ref="Q51:S51" si="51">+F51</f>
        <v>1-Mémo</v>
      </c>
      <c r="R51" s="653" t="str">
        <f t="shared" si="51"/>
        <v>64</v>
      </c>
      <c r="S51" s="654" t="str">
        <f t="shared" si="51"/>
        <v>_</v>
      </c>
      <c r="T51" s="656" t="str">
        <f>+VLOOKUP($L51,Data_Validation!$A:$D,1,0)</f>
        <v>644</v>
      </c>
      <c r="U51" s="656">
        <f>+VLOOKUP($L51,Data_Validation!$A:$D,3,0)</f>
        <v>0</v>
      </c>
      <c r="V51" s="656">
        <f>+VLOOKUP($L51,Data_Validation!$A:$D,4,0)</f>
        <v>0</v>
      </c>
      <c r="W51" s="656" t="str">
        <f>+VLOOKUP($L51,Data_Validation!$A:$E,5,0)</f>
        <v>$</v>
      </c>
      <c r="X51" s="656">
        <f>+VLOOKUP($L51,Data_Validation!$A:$F,6,0)</f>
        <v>0</v>
      </c>
    </row>
    <row r="52" spans="1:24" ht="15.75" customHeight="1">
      <c r="A52" s="1329" t="s">
        <v>805</v>
      </c>
      <c r="B52" s="1329" t="s">
        <v>2538</v>
      </c>
      <c r="C52" s="1330"/>
      <c r="D52" s="1330"/>
      <c r="E52" s="1330"/>
      <c r="F52" s="1329" t="s">
        <v>2</v>
      </c>
      <c r="G52" s="1329" t="s">
        <v>785</v>
      </c>
      <c r="H52" s="1329" t="s">
        <v>3942</v>
      </c>
      <c r="I52" s="1331">
        <v>0.2</v>
      </c>
      <c r="J52" s="1331">
        <v>0</v>
      </c>
      <c r="K52" s="1331">
        <v>0.2</v>
      </c>
      <c r="L52" s="653" t="str">
        <f t="shared" si="2"/>
        <v>651</v>
      </c>
      <c r="M52" s="654" t="str">
        <f t="shared" si="0"/>
        <v>DIR. ADMINIS. NEUFS</v>
      </c>
      <c r="N52" s="655">
        <f>+IF(OR($Q52=Parametres!$G$2,$Q52=Parametres!$G$3),I52,C52)</f>
        <v>0.2</v>
      </c>
      <c r="O52" s="655">
        <f>+IF(OR($Q52=Parametres!$G$2,$Q52=Parametres!$G$3),J52,D52)</f>
        <v>0</v>
      </c>
      <c r="P52" s="655">
        <f>+IF(OR($Q52=Parametres!$G$2,$Q52=Parametres!$G$3),K52,E52)</f>
        <v>0.2</v>
      </c>
      <c r="Q52" s="654" t="str">
        <f t="shared" ref="Q52:S52" si="52">+F52</f>
        <v>1-Mémo</v>
      </c>
      <c r="R52" s="653" t="str">
        <f t="shared" si="52"/>
        <v>50</v>
      </c>
      <c r="S52" s="654" t="str">
        <f t="shared" si="52"/>
        <v>_</v>
      </c>
      <c r="T52" s="656" t="str">
        <f>+VLOOKUP($L52,Data_Validation!$A:$D,1,0)</f>
        <v>651</v>
      </c>
      <c r="U52" s="656">
        <f>+VLOOKUP($L52,Data_Validation!$A:$D,3,0)</f>
        <v>0</v>
      </c>
      <c r="V52" s="656">
        <f>+VLOOKUP($L52,Data_Validation!$A:$D,4,0)</f>
        <v>0</v>
      </c>
      <c r="W52" s="656" t="str">
        <f>+VLOOKUP($L52,Data_Validation!$A:$E,5,0)</f>
        <v>$</v>
      </c>
      <c r="X52" s="656">
        <f>+VLOOKUP($L52,Data_Validation!$A:$F,6,0)</f>
        <v>0</v>
      </c>
    </row>
    <row r="53" spans="1:24" ht="15" customHeight="1">
      <c r="A53" s="1329" t="s">
        <v>806</v>
      </c>
      <c r="B53" s="1329" t="s">
        <v>2544</v>
      </c>
      <c r="C53" s="1330"/>
      <c r="D53" s="1330"/>
      <c r="E53" s="1330"/>
      <c r="F53" s="1329" t="s">
        <v>2</v>
      </c>
      <c r="G53" s="1329" t="s">
        <v>785</v>
      </c>
      <c r="H53" s="1329" t="s">
        <v>3942</v>
      </c>
      <c r="I53" s="1331">
        <v>0.2</v>
      </c>
      <c r="J53" s="1331">
        <v>0</v>
      </c>
      <c r="K53" s="1331">
        <v>0.2</v>
      </c>
      <c r="L53" s="653" t="str">
        <f t="shared" si="2"/>
        <v>652</v>
      </c>
      <c r="M53" s="654" t="str">
        <f t="shared" si="0"/>
        <v>DIR. ADMINIS. USAGES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t="str">
        <f t="shared" si="53"/>
        <v>_</v>
      </c>
      <c r="T53" s="656" t="str">
        <f>+VLOOKUP($L53,Data_Validation!$A:$D,1,0)</f>
        <v>652</v>
      </c>
      <c r="U53" s="656">
        <f>+VLOOKUP($L53,Data_Validation!$A:$D,3,0)</f>
        <v>0</v>
      </c>
      <c r="V53" s="656">
        <f>+VLOOKUP($L53,Data_Validation!$A:$D,4,0)</f>
        <v>0</v>
      </c>
      <c r="W53" s="656" t="str">
        <f>+VLOOKUP($L53,Data_Validation!$A:$E,5,0)</f>
        <v>$</v>
      </c>
      <c r="X53" s="656">
        <f>+VLOOKUP($L53,Data_Validation!$A:$F,6,0)</f>
        <v>0</v>
      </c>
    </row>
    <row r="54" spans="1:24" ht="15" customHeight="1">
      <c r="A54" s="1329" t="s">
        <v>807</v>
      </c>
      <c r="B54" s="1329" t="s">
        <v>2574</v>
      </c>
      <c r="C54" s="1330"/>
      <c r="D54" s="1330"/>
      <c r="E54" s="1330"/>
      <c r="F54" s="1329" t="s">
        <v>2</v>
      </c>
      <c r="G54" s="1329" t="s">
        <v>785</v>
      </c>
      <c r="H54" s="1329" t="s">
        <v>3942</v>
      </c>
      <c r="I54" s="1331">
        <v>0.2</v>
      </c>
      <c r="J54" s="1331">
        <v>0</v>
      </c>
      <c r="K54" s="1331">
        <v>0.2</v>
      </c>
      <c r="L54" s="653" t="str">
        <f t="shared" si="2"/>
        <v>654</v>
      </c>
      <c r="M54" s="654" t="str">
        <f t="shared" si="0"/>
        <v>DIR. ADMINIS. SERVICE</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t="str">
        <f t="shared" si="54"/>
        <v>_</v>
      </c>
      <c r="T54" s="656" t="str">
        <f>+VLOOKUP($L54,Data_Validation!$A:$D,1,0)</f>
        <v>654</v>
      </c>
      <c r="U54" s="656">
        <f>+VLOOKUP($L54,Data_Validation!$A:$D,3,0)</f>
        <v>0</v>
      </c>
      <c r="V54" s="656">
        <f>+VLOOKUP($L54,Data_Validation!$A:$D,4,0)</f>
        <v>0</v>
      </c>
      <c r="W54" s="656" t="str">
        <f>+VLOOKUP($L54,Data_Validation!$A:$E,5,0)</f>
        <v>$</v>
      </c>
      <c r="X54" s="656">
        <f>+VLOOKUP($L54,Data_Validation!$A:$F,6,0)</f>
        <v>0</v>
      </c>
    </row>
    <row r="55" spans="1:24" ht="15" customHeight="1">
      <c r="A55" s="1329" t="s">
        <v>808</v>
      </c>
      <c r="B55" s="1329" t="s">
        <v>1267</v>
      </c>
      <c r="C55" s="1330"/>
      <c r="D55" s="1330"/>
      <c r="E55" s="1330"/>
      <c r="F55" s="1329" t="s">
        <v>2</v>
      </c>
      <c r="G55" s="1329" t="s">
        <v>785</v>
      </c>
      <c r="H55" s="1329" t="s">
        <v>3942</v>
      </c>
      <c r="I55" s="1331">
        <v>0.2</v>
      </c>
      <c r="J55" s="1331">
        <v>0</v>
      </c>
      <c r="K55" s="1331">
        <v>0.2</v>
      </c>
      <c r="L55" s="653" t="str">
        <f t="shared" si="2"/>
        <v>655</v>
      </c>
      <c r="M55" s="654" t="str">
        <f t="shared" si="0"/>
        <v>DIR. ADMINIS. CARROSS.</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t="str">
        <f t="shared" si="55"/>
        <v>_</v>
      </c>
      <c r="T55" s="656" t="str">
        <f>+VLOOKUP($L55,Data_Validation!$A:$D,1,0)</f>
        <v>655</v>
      </c>
      <c r="U55" s="656">
        <f>+VLOOKUP($L55,Data_Validation!$A:$D,3,0)</f>
        <v>0</v>
      </c>
      <c r="V55" s="656">
        <f>+VLOOKUP($L55,Data_Validation!$A:$D,4,0)</f>
        <v>0</v>
      </c>
      <c r="W55" s="656" t="str">
        <f>+VLOOKUP($L55,Data_Validation!$A:$E,5,0)</f>
        <v>$</v>
      </c>
      <c r="X55" s="656">
        <f>+VLOOKUP($L55,Data_Validation!$A:$F,6,0)</f>
        <v>0</v>
      </c>
    </row>
    <row r="56" spans="1:24" ht="15.75" customHeight="1">
      <c r="A56" s="1329" t="s">
        <v>809</v>
      </c>
      <c r="B56" s="1329" t="s">
        <v>2617</v>
      </c>
      <c r="C56" s="1330"/>
      <c r="D56" s="1330"/>
      <c r="E56" s="1330"/>
      <c r="F56" s="1329" t="s">
        <v>2</v>
      </c>
      <c r="G56" s="1329" t="s">
        <v>785</v>
      </c>
      <c r="H56" s="1329" t="s">
        <v>3942</v>
      </c>
      <c r="I56" s="1331">
        <v>0.2</v>
      </c>
      <c r="J56" s="1331">
        <v>0</v>
      </c>
      <c r="K56" s="1331">
        <v>0.2</v>
      </c>
      <c r="L56" s="653" t="str">
        <f t="shared" si="2"/>
        <v>657</v>
      </c>
      <c r="M56" s="654" t="str">
        <f t="shared" si="0"/>
        <v>DIR. ADMINIS. PIECES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t="str">
        <f t="shared" si="56"/>
        <v>_</v>
      </c>
      <c r="T56" s="656" t="str">
        <f>+VLOOKUP($L56,Data_Validation!$A:$D,1,0)</f>
        <v>657</v>
      </c>
      <c r="U56" s="656">
        <f>+VLOOKUP($L56,Data_Validation!$A:$D,3,0)</f>
        <v>0</v>
      </c>
      <c r="V56" s="656">
        <f>+VLOOKUP($L56,Data_Validation!$A:$D,4,0)</f>
        <v>0</v>
      </c>
      <c r="W56" s="656" t="str">
        <f>+VLOOKUP($L56,Data_Validation!$A:$E,5,0)</f>
        <v>$</v>
      </c>
      <c r="X56" s="656">
        <f>+VLOOKUP($L56,Data_Validation!$A:$F,6,0)</f>
        <v>0</v>
      </c>
    </row>
    <row r="57" spans="1:24" ht="15" customHeight="1">
      <c r="A57" s="1329" t="s">
        <v>810</v>
      </c>
      <c r="B57" s="1329" t="s">
        <v>2635</v>
      </c>
      <c r="C57" s="1330"/>
      <c r="D57" s="1330"/>
      <c r="E57" s="1330"/>
      <c r="F57" s="1329" t="s">
        <v>2</v>
      </c>
      <c r="G57" s="1329" t="s">
        <v>785</v>
      </c>
      <c r="H57" s="1329" t="s">
        <v>3942</v>
      </c>
      <c r="I57" s="1331">
        <v>1</v>
      </c>
      <c r="J57" s="1331">
        <v>0</v>
      </c>
      <c r="K57" s="1331">
        <v>1</v>
      </c>
      <c r="L57" s="653" t="str">
        <f t="shared" si="2"/>
        <v>661</v>
      </c>
      <c r="M57" s="654" t="str">
        <f t="shared" si="0"/>
        <v>PERSONELS CLER. NEUFS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661</v>
      </c>
      <c r="U57" s="656">
        <f>+VLOOKUP($L57,Data_Validation!$A:$D,3,0)</f>
        <v>0</v>
      </c>
      <c r="V57" s="656">
        <f>+VLOOKUP($L57,Data_Validation!$A:$D,4,0)</f>
        <v>0</v>
      </c>
      <c r="W57" s="656" t="str">
        <f>+VLOOKUP($L57,Data_Validation!$A:$E,5,0)</f>
        <v>$</v>
      </c>
      <c r="X57" s="656">
        <f>+VLOOKUP($L57,Data_Validation!$A:$F,6,0)</f>
        <v>0</v>
      </c>
    </row>
    <row r="58" spans="1:24" ht="15" customHeight="1">
      <c r="A58" s="1329" t="s">
        <v>811</v>
      </c>
      <c r="B58" s="1329" t="s">
        <v>2638</v>
      </c>
      <c r="C58" s="1330"/>
      <c r="D58" s="1330"/>
      <c r="E58" s="1330"/>
      <c r="F58" s="1329" t="s">
        <v>2</v>
      </c>
      <c r="G58" s="1329" t="s">
        <v>785</v>
      </c>
      <c r="H58" s="1329" t="s">
        <v>3942</v>
      </c>
      <c r="I58" s="1331">
        <v>1</v>
      </c>
      <c r="J58" s="1331">
        <v>0</v>
      </c>
      <c r="K58" s="1331">
        <v>1</v>
      </c>
      <c r="L58" s="653" t="str">
        <f t="shared" si="2"/>
        <v>662</v>
      </c>
      <c r="M58" s="654" t="str">
        <f t="shared" si="0"/>
        <v>PERSONELS CLER.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662</v>
      </c>
      <c r="U58" s="656">
        <f>+VLOOKUP($L58,Data_Validation!$A:$D,3,0)</f>
        <v>0</v>
      </c>
      <c r="V58" s="656">
        <f>+VLOOKUP($L58,Data_Validation!$A:$D,4,0)</f>
        <v>0</v>
      </c>
      <c r="W58" s="656" t="str">
        <f>+VLOOKUP($L58,Data_Validation!$A:$E,5,0)</f>
        <v>$</v>
      </c>
      <c r="X58" s="656">
        <f>+VLOOKUP($L58,Data_Validation!$A:$F,6,0)</f>
        <v>0</v>
      </c>
    </row>
    <row r="59" spans="1:24" ht="15" customHeight="1">
      <c r="A59" s="1329" t="s">
        <v>812</v>
      </c>
      <c r="B59" s="1329" t="s">
        <v>2641</v>
      </c>
      <c r="C59" s="1330"/>
      <c r="D59" s="1330"/>
      <c r="E59" s="1330"/>
      <c r="F59" s="1329" t="s">
        <v>2</v>
      </c>
      <c r="G59" s="1329" t="s">
        <v>785</v>
      </c>
      <c r="H59" s="1329" t="s">
        <v>3942</v>
      </c>
      <c r="I59" s="1331">
        <v>1</v>
      </c>
      <c r="J59" s="1331">
        <v>0</v>
      </c>
      <c r="K59" s="1331">
        <v>1</v>
      </c>
      <c r="L59" s="653" t="str">
        <f t="shared" si="2"/>
        <v>664</v>
      </c>
      <c r="M59" s="654" t="str">
        <f t="shared" si="0"/>
        <v>PERSONELS CLER.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664</v>
      </c>
      <c r="U59" s="656">
        <f>+VLOOKUP($L59,Data_Validation!$A:$D,3,0)</f>
        <v>0</v>
      </c>
      <c r="V59" s="656">
        <f>+VLOOKUP($L59,Data_Validation!$A:$D,4,0)</f>
        <v>0</v>
      </c>
      <c r="W59" s="656" t="str">
        <f>+VLOOKUP($L59,Data_Validation!$A:$E,5,0)</f>
        <v>$</v>
      </c>
      <c r="X59" s="656">
        <f>+VLOOKUP($L59,Data_Validation!$A:$F,6,0)</f>
        <v>0</v>
      </c>
    </row>
    <row r="60" spans="1:24" ht="15" customHeight="1">
      <c r="A60" s="1329" t="s">
        <v>813</v>
      </c>
      <c r="B60" s="1329" t="s">
        <v>2644</v>
      </c>
      <c r="C60" s="1330"/>
      <c r="D60" s="1330"/>
      <c r="E60" s="1330"/>
      <c r="F60" s="1329" t="s">
        <v>2</v>
      </c>
      <c r="G60" s="1329" t="s">
        <v>785</v>
      </c>
      <c r="H60" s="1329" t="s">
        <v>3942</v>
      </c>
      <c r="I60" s="1331">
        <v>1</v>
      </c>
      <c r="J60" s="1331">
        <v>0</v>
      </c>
      <c r="K60" s="1331">
        <v>1</v>
      </c>
      <c r="L60" s="653" t="str">
        <f t="shared" si="2"/>
        <v>667</v>
      </c>
      <c r="M60" s="654" t="str">
        <f t="shared" si="0"/>
        <v>PERSONELS CLER.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667</v>
      </c>
      <c r="U60" s="656">
        <f>+VLOOKUP($L60,Data_Validation!$A:$D,3,0)</f>
        <v>0</v>
      </c>
      <c r="V60" s="656">
        <f>+VLOOKUP($L60,Data_Validation!$A:$D,4,0)</f>
        <v>0</v>
      </c>
      <c r="W60" s="656" t="str">
        <f>+VLOOKUP($L60,Data_Validation!$A:$E,5,0)</f>
        <v>$</v>
      </c>
      <c r="X60" s="656">
        <f>+VLOOKUP($L60,Data_Validation!$A:$F,6,0)</f>
        <v>0</v>
      </c>
    </row>
    <row r="61" spans="1:24" ht="15" customHeight="1">
      <c r="A61" s="1329" t="s">
        <v>814</v>
      </c>
      <c r="B61" s="1329" t="s">
        <v>2722</v>
      </c>
      <c r="C61" s="1330"/>
      <c r="D61" s="1330"/>
      <c r="E61" s="1330"/>
      <c r="F61" s="1329" t="s">
        <v>2</v>
      </c>
      <c r="G61" s="1329" t="s">
        <v>3332</v>
      </c>
      <c r="H61" s="1329" t="s">
        <v>3942</v>
      </c>
      <c r="I61" s="1331">
        <v>3</v>
      </c>
      <c r="J61" s="1331">
        <v>0</v>
      </c>
      <c r="K61" s="1331">
        <v>3</v>
      </c>
      <c r="L61" s="653" t="str">
        <f t="shared" si="2"/>
        <v>677</v>
      </c>
      <c r="M61" s="654" t="str">
        <f t="shared" si="0"/>
        <v>VW PIECES</v>
      </c>
      <c r="N61" s="655">
        <f>+IF(OR($Q61=Parametres!$G$2,$Q61=Parametres!$G$3),I61,C61)</f>
        <v>3</v>
      </c>
      <c r="O61" s="655">
        <f>+IF(OR($Q61=Parametres!$G$2,$Q61=Parametres!$G$3),J61,D61)</f>
        <v>0</v>
      </c>
      <c r="P61" s="655">
        <f>+IF(OR($Q61=Parametres!$G$2,$Q61=Parametres!$G$3),K61,E61)</f>
        <v>3</v>
      </c>
      <c r="Q61" s="654" t="str">
        <f t="shared" ref="Q61:S61" si="61">+F61</f>
        <v>1-Mémo</v>
      </c>
      <c r="R61" s="653" t="str">
        <f t="shared" si="61"/>
        <v>67</v>
      </c>
      <c r="S61" s="654" t="str">
        <f t="shared" si="61"/>
        <v>_</v>
      </c>
      <c r="T61" s="656" t="str">
        <f>+VLOOKUP($L61,Data_Validation!$A:$D,1,0)</f>
        <v>677</v>
      </c>
      <c r="U61" s="656">
        <f>+VLOOKUP($L61,Data_Validation!$A:$D,3,0)</f>
        <v>0</v>
      </c>
      <c r="V61" s="656">
        <f>+VLOOKUP($L61,Data_Validation!$A:$D,4,0)</f>
        <v>0</v>
      </c>
      <c r="W61" s="656" t="str">
        <f>+VLOOKUP($L61,Data_Validation!$A:$E,5,0)</f>
        <v>$</v>
      </c>
      <c r="X61" s="656">
        <f>+VLOOKUP($L61,Data_Validation!$A:$F,6,0)</f>
        <v>0</v>
      </c>
    </row>
    <row r="62" spans="1:24" ht="15" customHeight="1">
      <c r="A62" s="1329" t="s">
        <v>815</v>
      </c>
      <c r="B62" s="1329" t="s">
        <v>817</v>
      </c>
      <c r="C62" s="1331">
        <v>265170.03999999998</v>
      </c>
      <c r="D62" s="1331">
        <v>141308.91</v>
      </c>
      <c r="E62" s="1331">
        <v>406478.95</v>
      </c>
      <c r="F62" s="1329" t="s">
        <v>816</v>
      </c>
      <c r="G62" s="1329" t="s">
        <v>817</v>
      </c>
      <c r="H62" s="1329" t="s">
        <v>3942</v>
      </c>
      <c r="I62" s="1330"/>
      <c r="J62" s="1330"/>
      <c r="K62" s="1330"/>
      <c r="L62" s="653" t="str">
        <f t="shared" si="2"/>
        <v>1102</v>
      </c>
      <c r="M62" s="654" t="str">
        <f t="shared" si="0"/>
        <v>BANQUE DE COMMERCE C/C</v>
      </c>
      <c r="N62" s="655">
        <f>+IF(OR($Q62=Parametres!$G$2,$Q62=Parametres!$G$3),I62,C62)</f>
        <v>265170.03999999998</v>
      </c>
      <c r="O62" s="655">
        <f>+IF(OR($Q62=Parametres!$G$2,$Q62=Parametres!$G$3),J62,D62)</f>
        <v>141308.91</v>
      </c>
      <c r="P62" s="655">
        <f>+IF(OR($Q62=Parametres!$G$2,$Q62=Parametres!$G$3),K62,E62)</f>
        <v>406478.95</v>
      </c>
      <c r="Q62" s="654" t="str">
        <f t="shared" ref="Q62:S62" si="62">+F62</f>
        <v>2-Actifs</v>
      </c>
      <c r="R62" s="653" t="str">
        <f t="shared" si="62"/>
        <v>1102</v>
      </c>
      <c r="S62" s="654" t="str">
        <f t="shared" si="62"/>
        <v>_</v>
      </c>
      <c r="T62" s="656" t="str">
        <f>+VLOOKUP($L62,Data_Validation!$A:$D,1,0)</f>
        <v>1102</v>
      </c>
      <c r="U62" s="656" t="str">
        <f>+VLOOKUP($L62,Data_Validation!$A:$D,3,0)</f>
        <v>Bilan</v>
      </c>
      <c r="V62" s="656" t="str">
        <f>+VLOOKUP($L62,Data_Validation!$A:$D,4,0)</f>
        <v>Encaisse</v>
      </c>
      <c r="W62" s="656" t="str">
        <f>+VLOOKUP($L62,Data_Validation!$A:$E,5,0)</f>
        <v>$</v>
      </c>
      <c r="X62" s="656">
        <f>+VLOOKUP($L62,Data_Validation!$A:$F,6,0)</f>
        <v>0</v>
      </c>
    </row>
    <row r="63" spans="1:24" ht="15" customHeight="1">
      <c r="A63" s="1329" t="s">
        <v>1338</v>
      </c>
      <c r="B63" s="1329" t="s">
        <v>3355</v>
      </c>
      <c r="C63" s="1331">
        <v>-0.5</v>
      </c>
      <c r="D63" s="1331">
        <v>0.5</v>
      </c>
      <c r="E63" s="1331">
        <v>0</v>
      </c>
      <c r="F63" s="1329" t="s">
        <v>816</v>
      </c>
      <c r="G63" s="1329" t="s">
        <v>817</v>
      </c>
      <c r="H63" s="1329" t="s">
        <v>3942</v>
      </c>
      <c r="I63" s="1330"/>
      <c r="J63" s="1330"/>
      <c r="K63" s="1330"/>
      <c r="L63" s="653" t="str">
        <f t="shared" si="2"/>
        <v>1103</v>
      </c>
      <c r="M63" s="654" t="str">
        <f t="shared" si="0"/>
        <v>VISA</v>
      </c>
      <c r="N63" s="655">
        <f>+IF(OR($Q63=Parametres!$G$2,$Q63=Parametres!$G$3),I63,C63)</f>
        <v>-0.5</v>
      </c>
      <c r="O63" s="659">
        <f>+IF(OR($Q63=Parametres!$G$2,$Q63=Parametres!$G$3),J63,D63)</f>
        <v>0.5</v>
      </c>
      <c r="P63" s="655">
        <f>+IF(OR($Q63=Parametres!$G$2,$Q63=Parametres!$G$3),K63,E63)</f>
        <v>0</v>
      </c>
      <c r="Q63" s="654" t="str">
        <f t="shared" ref="Q63:S63" si="63">+F63</f>
        <v>2-Actifs</v>
      </c>
      <c r="R63" s="653" t="str">
        <f t="shared" si="63"/>
        <v>1102</v>
      </c>
      <c r="S63" s="654" t="str">
        <f t="shared" si="63"/>
        <v>_</v>
      </c>
      <c r="T63" s="656" t="str">
        <f>+VLOOKUP($L63,Data_Validation!$A:$D,1,0)</f>
        <v>1103</v>
      </c>
      <c r="U63" s="656" t="str">
        <f>+VLOOKUP($L63,Data_Validation!$A:$D,3,0)</f>
        <v>Bilan</v>
      </c>
      <c r="V63" s="656" t="str">
        <f>+VLOOKUP($L63,Data_Validation!$A:$D,4,0)</f>
        <v>Encaisse</v>
      </c>
      <c r="W63" s="656" t="str">
        <f>+VLOOKUP($L63,Data_Validation!$A:$E,5,0)</f>
        <v>$</v>
      </c>
      <c r="X63" s="656">
        <f>+VLOOKUP($L63,Data_Validation!$A:$F,6,0)</f>
        <v>0</v>
      </c>
    </row>
    <row r="64" spans="1:24" ht="15" customHeight="1">
      <c r="A64" s="1329" t="s">
        <v>818</v>
      </c>
      <c r="B64" s="1329" t="s">
        <v>3356</v>
      </c>
      <c r="C64" s="1331">
        <v>-94.12</v>
      </c>
      <c r="D64" s="1331">
        <v>94.12</v>
      </c>
      <c r="E64" s="1331">
        <v>0</v>
      </c>
      <c r="F64" s="1329" t="s">
        <v>816</v>
      </c>
      <c r="G64" s="1329" t="s">
        <v>817</v>
      </c>
      <c r="H64" s="1329" t="s">
        <v>3942</v>
      </c>
      <c r="I64" s="1330"/>
      <c r="J64" s="1330"/>
      <c r="K64" s="1330"/>
      <c r="L64" s="653" t="str">
        <f t="shared" si="2"/>
        <v>1104</v>
      </c>
      <c r="M64" s="654" t="str">
        <f t="shared" si="0"/>
        <v>MASTER CARD (CANADA TRUST)</v>
      </c>
      <c r="N64" s="655">
        <f>+IF(OR($Q64=Parametres!$G$2,$Q64=Parametres!$G$3),I64,C64)</f>
        <v>-94.12</v>
      </c>
      <c r="O64" s="655">
        <f>+IF(OR($Q64=Parametres!$G$2,$Q64=Parametres!$G$3),J64,D64)</f>
        <v>94.12</v>
      </c>
      <c r="P64" s="655">
        <f>+IF(OR($Q64=Parametres!$G$2,$Q64=Parametres!$G$3),K64,E64)</f>
        <v>0</v>
      </c>
      <c r="Q64" s="654" t="str">
        <f t="shared" ref="Q64:S64" si="64">+F64</f>
        <v>2-Actifs</v>
      </c>
      <c r="R64" s="653" t="str">
        <f t="shared" si="64"/>
        <v>1102</v>
      </c>
      <c r="S64" s="654" t="str">
        <f t="shared" si="64"/>
        <v>_</v>
      </c>
      <c r="T64" s="656" t="str">
        <f>+VLOOKUP($L64,Data_Validation!$A:$D,1,0)</f>
        <v>1104</v>
      </c>
      <c r="U64" s="656" t="str">
        <f>+VLOOKUP($L64,Data_Validation!$A:$D,3,0)</f>
        <v>Bilan</v>
      </c>
      <c r="V64" s="656" t="str">
        <f>+VLOOKUP($L64,Data_Validation!$A:$D,4,0)</f>
        <v>Encaisse</v>
      </c>
      <c r="W64" s="656" t="str">
        <f>+VLOOKUP($L64,Data_Validation!$A:$E,5,0)</f>
        <v>$</v>
      </c>
      <c r="X64" s="656">
        <f>+VLOOKUP($L64,Data_Validation!$A:$F,6,0)</f>
        <v>0</v>
      </c>
    </row>
    <row r="65" spans="1:24" ht="15" customHeight="1">
      <c r="A65" s="1329" t="s">
        <v>3886</v>
      </c>
      <c r="B65" s="1329" t="s">
        <v>3887</v>
      </c>
      <c r="C65" s="1331">
        <v>-2205.2199999999998</v>
      </c>
      <c r="D65" s="1331">
        <v>2205.21</v>
      </c>
      <c r="E65" s="1331">
        <v>-0.01</v>
      </c>
      <c r="F65" s="1329" t="s">
        <v>816</v>
      </c>
      <c r="G65" s="1329" t="s">
        <v>817</v>
      </c>
      <c r="H65" s="1329" t="s">
        <v>3942</v>
      </c>
      <c r="I65" s="1281"/>
      <c r="J65" s="1281"/>
      <c r="K65" s="1281"/>
      <c r="L65" s="653" t="str">
        <f t="shared" si="2"/>
        <v>1109</v>
      </c>
      <c r="M65" s="654" t="str">
        <f t="shared" si="0"/>
        <v>KIMOBY</v>
      </c>
      <c r="N65" s="655">
        <f>+IF(OR($Q65=Parametres!$G$2,$Q65=Parametres!$G$3),I65,C65)</f>
        <v>-2205.2199999999998</v>
      </c>
      <c r="O65" s="659">
        <f>+IF(OR($Q65=Parametres!$G$2,$Q65=Parametres!$G$3),J65,D65)</f>
        <v>2205.21</v>
      </c>
      <c r="P65" s="655">
        <f>+IF(OR($Q65=Parametres!$G$2,$Q65=Parametres!$G$3),K65,E65)</f>
        <v>-0.01</v>
      </c>
      <c r="Q65" s="654" t="str">
        <f t="shared" ref="Q65:S65" si="65">+F65</f>
        <v>2-Actifs</v>
      </c>
      <c r="R65" s="653" t="str">
        <f t="shared" si="65"/>
        <v>1102</v>
      </c>
      <c r="S65" s="654" t="str">
        <f t="shared" si="65"/>
        <v>_</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329" t="s">
        <v>820</v>
      </c>
      <c r="B66" s="1329" t="s">
        <v>1452</v>
      </c>
      <c r="C66" s="1331">
        <v>158.82</v>
      </c>
      <c r="D66" s="1331">
        <v>0</v>
      </c>
      <c r="E66" s="1331">
        <v>158.82</v>
      </c>
      <c r="F66" s="1329" t="s">
        <v>816</v>
      </c>
      <c r="G66" s="1329" t="s">
        <v>817</v>
      </c>
      <c r="H66" s="1329" t="s">
        <v>3942</v>
      </c>
      <c r="I66" s="1281"/>
      <c r="J66" s="1281"/>
      <c r="K66" s="1281"/>
      <c r="L66" s="653" t="str">
        <f t="shared" si="2"/>
        <v>1182</v>
      </c>
      <c r="M66" s="654" t="str">
        <f t="shared" si="0"/>
        <v>PETITE CAISSE</v>
      </c>
      <c r="N66" s="655">
        <f>+IF(OR($Q66=Parametres!$G$2,$Q66=Parametres!$G$3),I66,C66)</f>
        <v>158.82</v>
      </c>
      <c r="O66" s="655">
        <f>+IF(OR($Q66=Parametres!$G$2,$Q66=Parametres!$G$3),J66,D66)</f>
        <v>0</v>
      </c>
      <c r="P66" s="655">
        <f>+IF(OR($Q66=Parametres!$G$2,$Q66=Parametres!$G$3),K66,E66)</f>
        <v>158.82</v>
      </c>
      <c r="Q66" s="654" t="str">
        <f t="shared" ref="Q66:S66" si="66">+F66</f>
        <v>2-Actifs</v>
      </c>
      <c r="R66" s="653" t="str">
        <f t="shared" si="66"/>
        <v>1102</v>
      </c>
      <c r="S66" s="654" t="str">
        <f t="shared" si="66"/>
        <v>_</v>
      </c>
      <c r="T66" s="656" t="str">
        <f>+VLOOKUP($L66,Data_Validation!$A:$D,1,0)</f>
        <v>1182</v>
      </c>
      <c r="U66" s="656" t="str">
        <f>+VLOOKUP($L66,Data_Validation!$A:$D,3,0)</f>
        <v>Bilan</v>
      </c>
      <c r="V66" s="656" t="str">
        <f>+VLOOKUP($L66,Data_Validation!$A:$D,4,0)</f>
        <v>Encaisse</v>
      </c>
      <c r="W66" s="656" t="str">
        <f>+VLOOKUP($L66,Data_Validation!$A:$E,5,0)</f>
        <v>$</v>
      </c>
      <c r="X66" s="656">
        <f>+VLOOKUP($L66,Data_Validation!$A:$F,6,0)</f>
        <v>0</v>
      </c>
    </row>
    <row r="67" spans="1:24" ht="15" customHeight="1">
      <c r="A67" s="1329" t="s">
        <v>3665</v>
      </c>
      <c r="B67" s="1329" t="s">
        <v>3361</v>
      </c>
      <c r="C67" s="1331">
        <v>14.57</v>
      </c>
      <c r="D67" s="1331">
        <v>-14.57</v>
      </c>
      <c r="E67" s="1331">
        <v>0</v>
      </c>
      <c r="F67" s="1329" t="s">
        <v>816</v>
      </c>
      <c r="G67" s="1329" t="s">
        <v>821</v>
      </c>
      <c r="H67" s="1329" t="s">
        <v>3942</v>
      </c>
      <c r="I67" s="1281"/>
      <c r="J67" s="1281"/>
      <c r="K67" s="1281"/>
      <c r="L67" s="653" t="str">
        <f t="shared" ref="L67:L130" si="67">TEXT(B67,0)</f>
        <v>1189</v>
      </c>
      <c r="M67" s="654" t="str">
        <f t="shared" si="0"/>
        <v>VENTE AU COMPTANT (PIECES)</v>
      </c>
      <c r="N67" s="655">
        <f>+IF(OR($Q67=Parametres!$G$2,$Q67=Parametres!$G$3),I67,C67)</f>
        <v>14.57</v>
      </c>
      <c r="O67" s="655">
        <f>+IF(OR($Q67=Parametres!$G$2,$Q67=Parametres!$G$3),J67,D67)</f>
        <v>-14.57</v>
      </c>
      <c r="P67" s="655">
        <f>+IF(OR($Q67=Parametres!$G$2,$Q67=Parametres!$G$3),K67,E67)</f>
        <v>0</v>
      </c>
      <c r="Q67" s="654" t="str">
        <f t="shared" ref="Q67:S67" si="68">+F67</f>
        <v>2-Actifs</v>
      </c>
      <c r="R67" s="653" t="str">
        <f t="shared" si="68"/>
        <v>1382</v>
      </c>
      <c r="S67" s="654" t="str">
        <f t="shared" si="68"/>
        <v>_</v>
      </c>
      <c r="T67" s="656" t="str">
        <f>+VLOOKUP($L67,Data_Validation!$A:$D,1,0)</f>
        <v>1189</v>
      </c>
      <c r="U67" s="656" t="str">
        <f>+VLOOKUP($L67,Data_Validation!$A:$D,3,0)</f>
        <v>Bilan</v>
      </c>
      <c r="V67" s="656" t="str">
        <f>+VLOOKUP($L67,Data_Validation!$A:$D,4,0)</f>
        <v>Encaisse</v>
      </c>
      <c r="W67" s="656" t="str">
        <f>+VLOOKUP($L67,Data_Validation!$A:$E,5,0)</f>
        <v>$</v>
      </c>
      <c r="X67" s="656">
        <f>+VLOOKUP($L67,Data_Validation!$A:$F,6,0)</f>
        <v>0</v>
      </c>
    </row>
    <row r="68" spans="1:24" ht="15" customHeight="1">
      <c r="A68" s="1329" t="s">
        <v>822</v>
      </c>
      <c r="B68" s="1329" t="s">
        <v>823</v>
      </c>
      <c r="C68" s="1331">
        <v>1312505.32</v>
      </c>
      <c r="D68" s="1331">
        <v>-476387.37</v>
      </c>
      <c r="E68" s="1331">
        <v>836117.95</v>
      </c>
      <c r="F68" s="1329" t="s">
        <v>816</v>
      </c>
      <c r="G68" s="1329" t="s">
        <v>823</v>
      </c>
      <c r="H68" s="1329" t="s">
        <v>3942</v>
      </c>
      <c r="I68" s="1281"/>
      <c r="J68" s="1281"/>
      <c r="K68" s="1281"/>
      <c r="L68" s="653" t="str">
        <f t="shared" si="67"/>
        <v>1202</v>
      </c>
      <c r="M68" s="654" t="str">
        <f t="shared" si="0"/>
        <v>CONTRATS EN TRANSIT</v>
      </c>
      <c r="N68" s="655">
        <f>+IF(OR($Q68=Parametres!$G$2,$Q68=Parametres!$G$3),I68,C68)</f>
        <v>1312505.32</v>
      </c>
      <c r="O68" s="659">
        <f>+IF(OR($Q68=Parametres!$G$2,$Q68=Parametres!$G$3),J68,D68)</f>
        <v>-476387.37</v>
      </c>
      <c r="P68" s="655">
        <f>+IF(OR($Q68=Parametres!$G$2,$Q68=Parametres!$G$3),K68,E68)</f>
        <v>836117.95</v>
      </c>
      <c r="Q68" s="654" t="str">
        <f t="shared" ref="Q68:S68" si="69">+F68</f>
        <v>2-Actifs</v>
      </c>
      <c r="R68" s="653" t="str">
        <f t="shared" si="69"/>
        <v>1202</v>
      </c>
      <c r="S68" s="654" t="str">
        <f t="shared" si="69"/>
        <v>_</v>
      </c>
      <c r="T68" s="656" t="str">
        <f>+VLOOKUP($L68,Data_Validation!$A:$D,1,0)</f>
        <v>1202</v>
      </c>
      <c r="U68" s="656" t="str">
        <f>+VLOOKUP($L68,Data_Validation!$A:$D,3,0)</f>
        <v>Bilan</v>
      </c>
      <c r="V68" s="656" t="str">
        <f>+VLOOKUP($L68,Data_Validation!$A:$D,4,0)</f>
        <v>Recevables Contrats en Transit</v>
      </c>
      <c r="W68" s="656" t="str">
        <f>+VLOOKUP($L68,Data_Validation!$A:$E,5,0)</f>
        <v>$</v>
      </c>
      <c r="X68" s="656">
        <f>+VLOOKUP($L68,Data_Validation!$A:$F,6,0)</f>
        <v>0</v>
      </c>
    </row>
    <row r="69" spans="1:24" ht="15" customHeight="1">
      <c r="A69" s="1329" t="s">
        <v>824</v>
      </c>
      <c r="B69" s="1329" t="s">
        <v>825</v>
      </c>
      <c r="C69" s="1331">
        <v>-32396.720000000001</v>
      </c>
      <c r="D69" s="1331">
        <v>23588.21</v>
      </c>
      <c r="E69" s="1331">
        <v>-8808.51</v>
      </c>
      <c r="F69" s="1329" t="s">
        <v>816</v>
      </c>
      <c r="G69" s="1329" t="s">
        <v>825</v>
      </c>
      <c r="H69" s="1329" t="s">
        <v>3942</v>
      </c>
      <c r="I69" s="1281"/>
      <c r="J69" s="1281"/>
      <c r="K69" s="1281"/>
      <c r="L69" s="653" t="str">
        <f t="shared" si="67"/>
        <v>1302</v>
      </c>
      <c r="M69" s="654" t="str">
        <f t="shared" si="0"/>
        <v>RECEVABLE-CLIENT-VEHICULE</v>
      </c>
      <c r="N69" s="655">
        <f>+IF(OR($Q69=Parametres!$G$2,$Q69=Parametres!$G$3),I69,C69)</f>
        <v>-32396.720000000001</v>
      </c>
      <c r="O69" s="655">
        <f>+IF(OR($Q69=Parametres!$G$2,$Q69=Parametres!$G$3),J69,D69)</f>
        <v>23588.21</v>
      </c>
      <c r="P69" s="655">
        <f>+IF(OR($Q69=Parametres!$G$2,$Q69=Parametres!$G$3),K69,E69)</f>
        <v>-8808.51</v>
      </c>
      <c r="Q69" s="654" t="str">
        <f t="shared" ref="Q69:S69" si="70">+F69</f>
        <v>2-Actifs</v>
      </c>
      <c r="R69" s="653" t="str">
        <f t="shared" si="70"/>
        <v>1302</v>
      </c>
      <c r="S69" s="654" t="str">
        <f t="shared" si="70"/>
        <v>_</v>
      </c>
      <c r="T69" s="656" t="str">
        <f>+VLOOKUP($L69,Data_Validation!$A:$D,1,0)</f>
        <v>1302</v>
      </c>
      <c r="U69" s="656" t="str">
        <f>+VLOOKUP($L69,Data_Validation!$A:$D,3,0)</f>
        <v>Bilan</v>
      </c>
      <c r="V69" s="656" t="str">
        <f>+VLOOKUP($L69,Data_Validation!$A:$D,4,0)</f>
        <v>Recevables Véhicules</v>
      </c>
      <c r="W69" s="656" t="str">
        <f>+VLOOKUP($L69,Data_Validation!$A:$E,5,0)</f>
        <v>$</v>
      </c>
      <c r="X69" s="656">
        <f>+VLOOKUP($L69,Data_Validation!$A:$F,6,0)</f>
        <v>0</v>
      </c>
    </row>
    <row r="70" spans="1:24" ht="15" customHeight="1">
      <c r="A70" s="1329" t="s">
        <v>826</v>
      </c>
      <c r="B70" s="1329" t="s">
        <v>1459</v>
      </c>
      <c r="C70" s="1331">
        <v>397293.75</v>
      </c>
      <c r="D70" s="1331">
        <v>205222.55</v>
      </c>
      <c r="E70" s="1331">
        <v>602516.30000000005</v>
      </c>
      <c r="F70" s="1329" t="s">
        <v>816</v>
      </c>
      <c r="G70" s="1329" t="s">
        <v>825</v>
      </c>
      <c r="H70" s="1329" t="s">
        <v>3942</v>
      </c>
      <c r="I70" s="1281"/>
      <c r="J70" s="1281"/>
      <c r="K70" s="1281"/>
      <c r="L70" s="653" t="str">
        <f t="shared" si="67"/>
        <v>1303</v>
      </c>
      <c r="M70" s="654" t="str">
        <f t="shared" si="0"/>
        <v>RECEVABLES LPA ET AU GROS</v>
      </c>
      <c r="N70" s="655">
        <f>+IF(OR($Q70=Parametres!$G$2,$Q70=Parametres!$G$3),I70,C70)</f>
        <v>397293.75</v>
      </c>
      <c r="O70" s="655">
        <f>+IF(OR($Q70=Parametres!$G$2,$Q70=Parametres!$G$3),J70,D70)</f>
        <v>205222.55</v>
      </c>
      <c r="P70" s="655">
        <f>+IF(OR($Q70=Parametres!$G$2,$Q70=Parametres!$G$3),K70,E70)</f>
        <v>602516.30000000005</v>
      </c>
      <c r="Q70" s="654" t="str">
        <f t="shared" ref="Q70:S70" si="71">+F70</f>
        <v>2-Actifs</v>
      </c>
      <c r="R70" s="653" t="str">
        <f t="shared" si="71"/>
        <v>1302</v>
      </c>
      <c r="S70" s="654" t="str">
        <f t="shared" si="71"/>
        <v>_</v>
      </c>
      <c r="T70" s="656" t="str">
        <f>+VLOOKUP($L70,Data_Validation!$A:$D,1,0)</f>
        <v>1303</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329" t="s">
        <v>827</v>
      </c>
      <c r="B71" s="1329" t="s">
        <v>828</v>
      </c>
      <c r="C71" s="1331">
        <v>350045.16</v>
      </c>
      <c r="D71" s="1331">
        <v>13268.88</v>
      </c>
      <c r="E71" s="1331">
        <v>363314.04</v>
      </c>
      <c r="F71" s="1329" t="s">
        <v>816</v>
      </c>
      <c r="G71" s="1329" t="s">
        <v>828</v>
      </c>
      <c r="H71" s="1329" t="s">
        <v>3942</v>
      </c>
      <c r="I71" s="1281"/>
      <c r="J71" s="1281"/>
      <c r="K71" s="1281"/>
      <c r="L71" s="653" t="str">
        <f t="shared" si="67"/>
        <v>1304</v>
      </c>
      <c r="M71" s="654" t="str">
        <f t="shared" si="0"/>
        <v>RECEVABLES PIECES &amp; SERVICE</v>
      </c>
      <c r="N71" s="655">
        <f>+IF(OR($Q71=Parametres!$G$2,$Q71=Parametres!$G$3),I71,C71)</f>
        <v>350045.16</v>
      </c>
      <c r="O71" s="655">
        <f>+IF(OR($Q71=Parametres!$G$2,$Q71=Parametres!$G$3),J71,D71)</f>
        <v>13268.88</v>
      </c>
      <c r="P71" s="655">
        <f>+IF(OR($Q71=Parametres!$G$2,$Q71=Parametres!$G$3),K71,E71)</f>
        <v>363314.04</v>
      </c>
      <c r="Q71" s="654" t="str">
        <f t="shared" ref="Q71:S71" si="72">+F71</f>
        <v>2-Actifs</v>
      </c>
      <c r="R71" s="653" t="str">
        <f t="shared" si="72"/>
        <v>1304</v>
      </c>
      <c r="S71" s="654" t="str">
        <f t="shared" si="72"/>
        <v>_</v>
      </c>
      <c r="T71" s="656" t="str">
        <f>+VLOOKUP($L71,Data_Validation!$A:$D,1,0)</f>
        <v>1304</v>
      </c>
      <c r="U71" s="656" t="str">
        <f>+VLOOKUP($L71,Data_Validation!$A:$D,3,0)</f>
        <v>Bilan</v>
      </c>
      <c r="V71" s="656" t="str">
        <f>+VLOOKUP($L71,Data_Validation!$A:$D,4,0)</f>
        <v>Recevables Pièces et Service</v>
      </c>
      <c r="W71" s="656" t="str">
        <f>+VLOOKUP($L71,Data_Validation!$A:$E,5,0)</f>
        <v>$</v>
      </c>
      <c r="X71" s="656">
        <f>+VLOOKUP($L71,Data_Validation!$A:$F,6,0)</f>
        <v>0</v>
      </c>
    </row>
    <row r="72" spans="1:24" ht="15" customHeight="1">
      <c r="A72" s="1329" t="s">
        <v>829</v>
      </c>
      <c r="B72" s="1329" t="s">
        <v>1464</v>
      </c>
      <c r="C72" s="1331">
        <v>20008.46</v>
      </c>
      <c r="D72" s="1331">
        <v>-7423.82</v>
      </c>
      <c r="E72" s="1331">
        <v>12584.64</v>
      </c>
      <c r="F72" s="1329" t="s">
        <v>816</v>
      </c>
      <c r="G72" s="1329" t="s">
        <v>828</v>
      </c>
      <c r="H72" s="1329" t="s">
        <v>3942</v>
      </c>
      <c r="I72" s="1281"/>
      <c r="J72" s="1281"/>
      <c r="K72" s="1281"/>
      <c r="L72" s="653" t="str">
        <f t="shared" si="67"/>
        <v>1305</v>
      </c>
      <c r="M72" s="654" t="str">
        <f t="shared" si="0"/>
        <v>RECEVABLES CARROSSERIE</v>
      </c>
      <c r="N72" s="655">
        <f>+IF(OR($Q72=Parametres!$G$2,$Q72=Parametres!$G$3),I72,C72)</f>
        <v>20008.46</v>
      </c>
      <c r="O72" s="659">
        <f>+IF(OR($Q72=Parametres!$G$2,$Q72=Parametres!$G$3),J72,D72)</f>
        <v>-7423.82</v>
      </c>
      <c r="P72" s="655">
        <f>+IF(OR($Q72=Parametres!$G$2,$Q72=Parametres!$G$3),K72,E72)</f>
        <v>12584.64</v>
      </c>
      <c r="Q72" s="654" t="str">
        <f t="shared" ref="Q72:S72" si="73">+F72</f>
        <v>2-Actifs</v>
      </c>
      <c r="R72" s="653" t="str">
        <f t="shared" si="73"/>
        <v>1304</v>
      </c>
      <c r="S72" s="654" t="str">
        <f t="shared" si="73"/>
        <v>_</v>
      </c>
      <c r="T72" s="656" t="str">
        <f>+VLOOKUP($L72,Data_Validation!$A:$D,1,0)</f>
        <v>1305</v>
      </c>
      <c r="U72" s="656" t="str">
        <f>+VLOOKUP($L72,Data_Validation!$A:$D,3,0)</f>
        <v>Bilan</v>
      </c>
      <c r="V72" s="656" t="str">
        <f>+VLOOKUP($L72,Data_Validation!$A:$D,4,0)</f>
        <v>Recevables Carrosserie</v>
      </c>
      <c r="W72" s="656" t="str">
        <f>+VLOOKUP($L72,Data_Validation!$A:$E,5,0)</f>
        <v>$</v>
      </c>
      <c r="X72" s="656">
        <f>+VLOOKUP($L72,Data_Validation!$A:$F,6,0)</f>
        <v>0</v>
      </c>
    </row>
    <row r="73" spans="1:24" ht="15" customHeight="1">
      <c r="A73" s="1329" t="s">
        <v>830</v>
      </c>
      <c r="B73" s="1329" t="s">
        <v>3362</v>
      </c>
      <c r="C73" s="1331">
        <v>-318858.95</v>
      </c>
      <c r="D73" s="1331">
        <v>318858.95</v>
      </c>
      <c r="E73" s="1331">
        <v>0</v>
      </c>
      <c r="F73" s="1329" t="s">
        <v>816</v>
      </c>
      <c r="G73" s="1329" t="s">
        <v>828</v>
      </c>
      <c r="H73" s="1329" t="s">
        <v>3942</v>
      </c>
      <c r="I73" s="1281"/>
      <c r="J73" s="1281"/>
      <c r="K73" s="1281"/>
      <c r="L73" s="653" t="str">
        <f t="shared" si="67"/>
        <v>1306</v>
      </c>
      <c r="M73" s="654" t="str">
        <f t="shared" si="0"/>
        <v>RECEVABLES INTERCO</v>
      </c>
      <c r="N73" s="655">
        <f>+IF(OR($Q73=Parametres!$G$2,$Q73=Parametres!$G$3),I73,C73)</f>
        <v>-318858.95</v>
      </c>
      <c r="O73" s="655">
        <f>+IF(OR($Q73=Parametres!$G$2,$Q73=Parametres!$G$3),J73,D73)</f>
        <v>318858.95</v>
      </c>
      <c r="P73" s="655">
        <f>+IF(OR($Q73=Parametres!$G$2,$Q73=Parametres!$G$3),K73,E73)</f>
        <v>0</v>
      </c>
      <c r="Q73" s="654" t="str">
        <f t="shared" ref="Q73:S73" si="74">+F73</f>
        <v>2-Actifs</v>
      </c>
      <c r="R73" s="653" t="str">
        <f t="shared" si="74"/>
        <v>1304</v>
      </c>
      <c r="S73" s="654" t="str">
        <f t="shared" si="74"/>
        <v>_</v>
      </c>
      <c r="T73" s="656" t="str">
        <f>+VLOOKUP($L73,Data_Validation!$A:$D,1,0)</f>
        <v>1306</v>
      </c>
      <c r="U73" s="656" t="str">
        <f>+VLOOKUP($L73,Data_Validation!$A:$D,3,0)</f>
        <v>Bilan</v>
      </c>
      <c r="V73" s="656" t="str">
        <f>+VLOOKUP($L73,Data_Validation!$A:$D,4,0)</f>
        <v>Recevables Intercos</v>
      </c>
      <c r="W73" s="656" t="str">
        <f>+VLOOKUP($L73,Data_Validation!$A:$E,5,0)</f>
        <v>$</v>
      </c>
      <c r="X73" s="656">
        <f>+VLOOKUP($L73,Data_Validation!$A:$F,6,0)</f>
        <v>0</v>
      </c>
    </row>
    <row r="74" spans="1:24" ht="15" customHeight="1">
      <c r="A74" s="1329" t="s">
        <v>832</v>
      </c>
      <c r="B74" s="1329" t="s">
        <v>1467</v>
      </c>
      <c r="C74" s="1331">
        <v>12488</v>
      </c>
      <c r="D74" s="1331">
        <v>152516</v>
      </c>
      <c r="E74" s="1331">
        <v>165004</v>
      </c>
      <c r="F74" s="1329" t="s">
        <v>816</v>
      </c>
      <c r="G74" s="1329" t="s">
        <v>833</v>
      </c>
      <c r="H74" s="1329" t="s">
        <v>3942</v>
      </c>
      <c r="I74" s="1281"/>
      <c r="J74" s="1281"/>
      <c r="K74" s="1281"/>
      <c r="L74" s="653" t="str">
        <f t="shared" si="67"/>
        <v>1312</v>
      </c>
      <c r="M74" s="654" t="str">
        <f t="shared" si="0"/>
        <v>RESEVE VOLKS</v>
      </c>
      <c r="N74" s="655">
        <f>+IF(OR($Q74=Parametres!$G$2,$Q74=Parametres!$G$3),I74,C74)</f>
        <v>12488</v>
      </c>
      <c r="O74" s="655">
        <f>+IF(OR($Q74=Parametres!$G$2,$Q74=Parametres!$G$3),J74,D74)</f>
        <v>152516</v>
      </c>
      <c r="P74" s="655">
        <f>+IF(OR($Q74=Parametres!$G$2,$Q74=Parametres!$G$3),K74,E74)</f>
        <v>165004</v>
      </c>
      <c r="Q74" s="654" t="str">
        <f t="shared" ref="Q74:S74" si="75">+F74</f>
        <v>2-Actifs</v>
      </c>
      <c r="R74" s="653" t="str">
        <f t="shared" si="75"/>
        <v>1314</v>
      </c>
      <c r="S74" s="654" t="str">
        <f t="shared" si="75"/>
        <v>_</v>
      </c>
      <c r="T74" s="656" t="str">
        <f>+VLOOKUP($L74,Data_Validation!$A:$D,1,0)</f>
        <v>1312</v>
      </c>
      <c r="U74" s="656" t="str">
        <f>+VLOOKUP($L74,Data_Validation!$A:$D,3,0)</f>
        <v>Bilan</v>
      </c>
      <c r="V74" s="656" t="str">
        <f>+VLOOKUP($L74,Data_Validation!$A:$D,4,0)</f>
        <v>Recevables Manufacturier</v>
      </c>
      <c r="W74" s="656" t="str">
        <f>+VLOOKUP($L74,Data_Validation!$A:$E,5,0)</f>
        <v>$</v>
      </c>
      <c r="X74" s="656">
        <f>+VLOOKUP($L74,Data_Validation!$A:$F,6,0)</f>
        <v>0</v>
      </c>
    </row>
    <row r="75" spans="1:24" ht="15" customHeight="1">
      <c r="A75" s="1329" t="s">
        <v>834</v>
      </c>
      <c r="B75" s="1329" t="s">
        <v>835</v>
      </c>
      <c r="C75" s="1331">
        <v>151751.73000000001</v>
      </c>
      <c r="D75" s="1331">
        <v>-110959.72</v>
      </c>
      <c r="E75" s="1331">
        <v>40792.01</v>
      </c>
      <c r="F75" s="1329" t="s">
        <v>816</v>
      </c>
      <c r="G75" s="1329" t="s">
        <v>835</v>
      </c>
      <c r="H75" s="1329" t="s">
        <v>3942</v>
      </c>
      <c r="I75" s="1281"/>
      <c r="J75" s="1281"/>
      <c r="K75" s="1281"/>
      <c r="L75" s="653" t="str">
        <f t="shared" si="67"/>
        <v>1332</v>
      </c>
      <c r="M75" s="654" t="str">
        <f t="shared" si="0"/>
        <v>RECLAM. RECEVABLE-GARANTIE</v>
      </c>
      <c r="N75" s="655">
        <f>+IF(OR($Q75=Parametres!$G$2,$Q75=Parametres!$G$3),I75,C75)</f>
        <v>151751.73000000001</v>
      </c>
      <c r="O75" s="655">
        <f>+IF(OR($Q75=Parametres!$G$2,$Q75=Parametres!$G$3),J75,D75)</f>
        <v>-110959.72</v>
      </c>
      <c r="P75" s="655">
        <f>+IF(OR($Q75=Parametres!$G$2,$Q75=Parametres!$G$3),K75,E75)</f>
        <v>40792.01</v>
      </c>
      <c r="Q75" s="654" t="str">
        <f t="shared" ref="Q75:S75" si="76">+F75</f>
        <v>2-Actifs</v>
      </c>
      <c r="R75" s="653" t="str">
        <f t="shared" si="76"/>
        <v>1332</v>
      </c>
      <c r="S75" s="654" t="str">
        <f t="shared" si="76"/>
        <v>_</v>
      </c>
      <c r="T75" s="656" t="str">
        <f>+VLOOKUP($L75,Data_Validation!$A:$D,1,0)</f>
        <v>1332</v>
      </c>
      <c r="U75" s="656" t="str">
        <f>+VLOOKUP($L75,Data_Validation!$A:$D,3,0)</f>
        <v>Bilan</v>
      </c>
      <c r="V75" s="656" t="str">
        <f>+VLOOKUP($L75,Data_Validation!$A:$D,4,0)</f>
        <v>Recevables Garantie Manufacturier</v>
      </c>
      <c r="W75" s="656" t="str">
        <f>+VLOOKUP($L75,Data_Validation!$A:$E,5,0)</f>
        <v>$</v>
      </c>
      <c r="X75" s="656">
        <f>+VLOOKUP($L75,Data_Validation!$A:$F,6,0)</f>
        <v>0</v>
      </c>
    </row>
    <row r="76" spans="1:24" ht="15" customHeight="1">
      <c r="A76" s="1329" t="s">
        <v>836</v>
      </c>
      <c r="B76" s="1329" t="s">
        <v>1472</v>
      </c>
      <c r="C76" s="1331">
        <v>-3891.81</v>
      </c>
      <c r="D76" s="1331">
        <v>7003.22</v>
      </c>
      <c r="E76" s="1331">
        <v>3111.41</v>
      </c>
      <c r="F76" s="1329" t="s">
        <v>816</v>
      </c>
      <c r="G76" s="1329" t="s">
        <v>821</v>
      </c>
      <c r="H76" s="1329" t="s">
        <v>3942</v>
      </c>
      <c r="I76" s="1281"/>
      <c r="J76" s="1281"/>
      <c r="K76" s="1281"/>
      <c r="L76" s="653" t="str">
        <f t="shared" si="67"/>
        <v>1340</v>
      </c>
      <c r="M76" s="654" t="str">
        <f t="shared" si="0"/>
        <v>GARANTIE PPM</v>
      </c>
      <c r="N76" s="655">
        <f>+IF(OR($Q76=Parametres!$G$2,$Q76=Parametres!$G$3),I76,C76)</f>
        <v>-3891.81</v>
      </c>
      <c r="O76" s="655">
        <f>+IF(OR($Q76=Parametres!$G$2,$Q76=Parametres!$G$3),J76,D76)</f>
        <v>7003.22</v>
      </c>
      <c r="P76" s="655">
        <f>+IF(OR($Q76=Parametres!$G$2,$Q76=Parametres!$G$3),K76,E76)</f>
        <v>3111.41</v>
      </c>
      <c r="Q76" s="654" t="str">
        <f t="shared" ref="Q76:S76" si="77">+F76</f>
        <v>2-Actifs</v>
      </c>
      <c r="R76" s="653" t="str">
        <f t="shared" si="77"/>
        <v>1382</v>
      </c>
      <c r="S76" s="654" t="str">
        <f t="shared" si="77"/>
        <v>_</v>
      </c>
      <c r="T76" s="656" t="str">
        <f>+VLOOKUP($L76,Data_Validation!$A:$D,1,0)</f>
        <v>1340</v>
      </c>
      <c r="U76" s="656" t="str">
        <f>+VLOOKUP($L76,Data_Validation!$A:$D,3,0)</f>
        <v>Bilan</v>
      </c>
      <c r="V76" s="656" t="str">
        <f>+VLOOKUP($L76,Data_Validation!$A:$D,4,0)</f>
        <v>recevables Autres</v>
      </c>
      <c r="W76" s="656" t="str">
        <f>+VLOOKUP($L76,Data_Validation!$A:$E,5,0)</f>
        <v>$</v>
      </c>
      <c r="X76" s="656">
        <f>+VLOOKUP($L76,Data_Validation!$A:$F,6,0)</f>
        <v>0</v>
      </c>
    </row>
    <row r="77" spans="1:24" ht="15" customHeight="1">
      <c r="A77" s="1329" t="s">
        <v>837</v>
      </c>
      <c r="B77" s="1329" t="s">
        <v>1475</v>
      </c>
      <c r="C77" s="1331">
        <v>31700</v>
      </c>
      <c r="D77" s="1331">
        <v>-15000</v>
      </c>
      <c r="E77" s="1331">
        <v>16700</v>
      </c>
      <c r="F77" s="1329" t="s">
        <v>816</v>
      </c>
      <c r="G77" s="1329" t="s">
        <v>833</v>
      </c>
      <c r="H77" s="1329" t="s">
        <v>3942</v>
      </c>
      <c r="I77" s="1281"/>
      <c r="J77" s="1281"/>
      <c r="K77" s="1281"/>
      <c r="L77" s="653" t="str">
        <f t="shared" si="67"/>
        <v>1352</v>
      </c>
      <c r="M77" s="654" t="str">
        <f t="shared" si="0"/>
        <v>RECEV. MANUFACTURIER VOLKS</v>
      </c>
      <c r="N77" s="655">
        <f>+IF(OR($Q77=Parametres!$G$2,$Q77=Parametres!$G$3),I77,C77)</f>
        <v>31700</v>
      </c>
      <c r="O77" s="655">
        <f>+IF(OR($Q77=Parametres!$G$2,$Q77=Parametres!$G$3),J77,D77)</f>
        <v>-15000</v>
      </c>
      <c r="P77" s="655">
        <f>+IF(OR($Q77=Parametres!$G$2,$Q77=Parametres!$G$3),K77,E77)</f>
        <v>16700</v>
      </c>
      <c r="Q77" s="654" t="str">
        <f t="shared" ref="Q77:S77" si="78">+F77</f>
        <v>2-Actifs</v>
      </c>
      <c r="R77" s="653" t="str">
        <f t="shared" si="78"/>
        <v>1314</v>
      </c>
      <c r="S77" s="654" t="str">
        <f t="shared" si="78"/>
        <v>_</v>
      </c>
      <c r="T77" s="656" t="str">
        <f>+VLOOKUP($L77,Data_Validation!$A:$D,1,0)</f>
        <v>1352</v>
      </c>
      <c r="U77" s="656" t="str">
        <f>+VLOOKUP($L77,Data_Validation!$A:$D,3,0)</f>
        <v>Bilan</v>
      </c>
      <c r="V77" s="656" t="str">
        <f>+VLOOKUP($L77,Data_Validation!$A:$D,4,0)</f>
        <v>Recevables Manufacturier</v>
      </c>
      <c r="W77" s="656" t="str">
        <f>+VLOOKUP($L77,Data_Validation!$A:$E,5,0)</f>
        <v>$</v>
      </c>
      <c r="X77" s="656">
        <f>+VLOOKUP($L77,Data_Validation!$A:$F,6,0)</f>
        <v>0</v>
      </c>
    </row>
    <row r="78" spans="1:24" ht="15" customHeight="1">
      <c r="A78" s="1329" t="s">
        <v>1347</v>
      </c>
      <c r="B78" s="1329" t="s">
        <v>1429</v>
      </c>
      <c r="C78" s="1331">
        <v>1098.1099999999999</v>
      </c>
      <c r="D78" s="1331">
        <v>0</v>
      </c>
      <c r="E78" s="1331">
        <v>1098.1099999999999</v>
      </c>
      <c r="F78" s="1329" t="s">
        <v>816</v>
      </c>
      <c r="G78" s="1329" t="s">
        <v>1429</v>
      </c>
      <c r="H78" s="1329" t="s">
        <v>3942</v>
      </c>
      <c r="I78" s="1281"/>
      <c r="J78" s="1281"/>
      <c r="K78" s="1281"/>
      <c r="L78" s="653" t="str">
        <f t="shared" si="67"/>
        <v>1372</v>
      </c>
      <c r="M78" s="654" t="str">
        <f t="shared" si="0"/>
        <v>TAXES DE VENTES A RECEVOIR</v>
      </c>
      <c r="N78" s="655">
        <f>+IF(OR($Q78=Parametres!$G$2,$Q78=Parametres!$G$3),I78,C78)</f>
        <v>1098.1099999999999</v>
      </c>
      <c r="O78" s="655">
        <f>+IF(OR($Q78=Parametres!$G$2,$Q78=Parametres!$G$3),J78,D78)</f>
        <v>0</v>
      </c>
      <c r="P78" s="655">
        <f>+IF(OR($Q78=Parametres!$G$2,$Q78=Parametres!$G$3),K78,E78)</f>
        <v>1098.1099999999999</v>
      </c>
      <c r="Q78" s="654" t="str">
        <f t="shared" ref="Q78:S78" si="79">+F78</f>
        <v>2-Actifs</v>
      </c>
      <c r="R78" s="653" t="str">
        <f t="shared" si="79"/>
        <v>1372</v>
      </c>
      <c r="S78" s="654" t="str">
        <f t="shared" si="79"/>
        <v>_</v>
      </c>
      <c r="T78" s="656" t="str">
        <f>+VLOOKUP($L78,Data_Validation!$A:$D,1,0)</f>
        <v>1372</v>
      </c>
      <c r="U78" s="656" t="str">
        <f>+VLOOKUP($L78,Data_Validation!$A:$D,3,0)</f>
        <v>Bilan</v>
      </c>
      <c r="V78" s="656" t="str">
        <f>+VLOOKUP($L78,Data_Validation!$A:$D,4,0)</f>
        <v>Taxes de Vente à Payer</v>
      </c>
      <c r="W78" s="656" t="str">
        <f>+VLOOKUP($L78,Data_Validation!$A:$E,5,0)</f>
        <v>$</v>
      </c>
      <c r="X78" s="656">
        <f>+VLOOKUP($L78,Data_Validation!$A:$F,6,0)</f>
        <v>0</v>
      </c>
    </row>
    <row r="79" spans="1:24" ht="15" customHeight="1">
      <c r="A79" s="1329" t="s">
        <v>840</v>
      </c>
      <c r="B79" s="1329" t="s">
        <v>841</v>
      </c>
      <c r="C79" s="1331">
        <v>7120506.5599999996</v>
      </c>
      <c r="D79" s="1331">
        <v>937672.95</v>
      </c>
      <c r="E79" s="1331">
        <v>8058179.5099999998</v>
      </c>
      <c r="F79" s="1329" t="s">
        <v>816</v>
      </c>
      <c r="G79" s="1329" t="s">
        <v>841</v>
      </c>
      <c r="H79" s="1329" t="s">
        <v>3942</v>
      </c>
      <c r="I79" s="1281"/>
      <c r="J79" s="1281"/>
      <c r="K79" s="1281"/>
      <c r="L79" s="653" t="str">
        <f t="shared" si="67"/>
        <v>1402</v>
      </c>
      <c r="M79" s="654" t="str">
        <f t="shared" si="0"/>
        <v>VEHIC. NEUFS VOLKS</v>
      </c>
      <c r="N79" s="655">
        <f>+IF(OR($Q79=Parametres!$G$2,$Q79=Parametres!$G$3),I79,C79)</f>
        <v>7120506.5599999996</v>
      </c>
      <c r="O79" s="655">
        <f>+IF(OR($Q79=Parametres!$G$2,$Q79=Parametres!$G$3),J79,D79)</f>
        <v>937672.95</v>
      </c>
      <c r="P79" s="655">
        <f>+IF(OR($Q79=Parametres!$G$2,$Q79=Parametres!$G$3),K79,E79)</f>
        <v>8058179.5099999998</v>
      </c>
      <c r="Q79" s="654" t="str">
        <f t="shared" ref="Q79:S79" si="80">+F79</f>
        <v>2-Actifs</v>
      </c>
      <c r="R79" s="653" t="str">
        <f t="shared" si="80"/>
        <v>1402</v>
      </c>
      <c r="S79" s="654" t="str">
        <f t="shared" si="80"/>
        <v>_</v>
      </c>
      <c r="T79" s="656" t="str">
        <f>+VLOOKUP($L79,Data_Validation!$A:$D,1,0)</f>
        <v>1402</v>
      </c>
      <c r="U79" s="656" t="str">
        <f>+VLOOKUP($L79,Data_Validation!$A:$D,3,0)</f>
        <v>Bilan</v>
      </c>
      <c r="V79" s="656" t="str">
        <f>+VLOOKUP($L79,Data_Validation!$A:$D,4,0)</f>
        <v>Inventaire Véhicules Neufs</v>
      </c>
      <c r="W79" s="656" t="str">
        <f>+VLOOKUP($L79,Data_Validation!$A:$E,5,0)</f>
        <v>$</v>
      </c>
      <c r="X79" s="656">
        <f>+VLOOKUP($L79,Data_Validation!$A:$F,6,0)</f>
        <v>0</v>
      </c>
    </row>
    <row r="80" spans="1:24" ht="15.75" customHeight="1">
      <c r="A80" s="1329" t="s">
        <v>844</v>
      </c>
      <c r="B80" s="1329" t="s">
        <v>1487</v>
      </c>
      <c r="C80" s="1331">
        <v>0</v>
      </c>
      <c r="D80" s="1331">
        <v>-4950</v>
      </c>
      <c r="E80" s="1331">
        <v>-4950</v>
      </c>
      <c r="F80" s="1329" t="s">
        <v>816</v>
      </c>
      <c r="G80" s="1329" t="s">
        <v>841</v>
      </c>
      <c r="H80" s="1329" t="s">
        <v>3942</v>
      </c>
      <c r="I80" s="1281"/>
      <c r="J80" s="1281"/>
      <c r="K80" s="1281"/>
      <c r="L80" s="653" t="str">
        <f t="shared" si="67"/>
        <v>1403</v>
      </c>
      <c r="M80" s="654" t="str">
        <f t="shared" si="0"/>
        <v>BRUISING VOLKS VEH. NEUFS</v>
      </c>
      <c r="N80" s="655">
        <f>+IF(OR($Q80=Parametres!$G$2,$Q80=Parametres!$G$3),I80,C80)</f>
        <v>0</v>
      </c>
      <c r="O80" s="655">
        <f>+IF(OR($Q80=Parametres!$G$2,$Q80=Parametres!$G$3),J80,D80)</f>
        <v>-4950</v>
      </c>
      <c r="P80" s="655">
        <f>+IF(OR($Q80=Parametres!$G$2,$Q80=Parametres!$G$3),K80,E80)</f>
        <v>-4950</v>
      </c>
      <c r="Q80" s="654" t="str">
        <f t="shared" ref="Q80:S80" si="81">+F80</f>
        <v>2-Actifs</v>
      </c>
      <c r="R80" s="653" t="str">
        <f t="shared" si="81"/>
        <v>1402</v>
      </c>
      <c r="S80" s="654" t="str">
        <f t="shared" si="81"/>
        <v>_</v>
      </c>
      <c r="T80" s="656" t="str">
        <f>+VLOOKUP($L80,Data_Validation!$A:$D,1,0)</f>
        <v>1403</v>
      </c>
      <c r="U80" s="656" t="str">
        <f>+VLOOKUP($L80,Data_Validation!$A:$D,3,0)</f>
        <v>Bilan</v>
      </c>
      <c r="V80" s="656" t="str">
        <f>+VLOOKUP($L80,Data_Validation!$A:$D,4,0)</f>
        <v>Inventaire Véhicules Neufs</v>
      </c>
      <c r="W80" s="656" t="str">
        <f>+VLOOKUP($L80,Data_Validation!$A:$E,5,0)</f>
        <v>$</v>
      </c>
      <c r="X80" s="656">
        <f>+VLOOKUP($L80,Data_Validation!$A:$F,6,0)</f>
        <v>0</v>
      </c>
    </row>
    <row r="81" spans="1:24" ht="15" customHeight="1">
      <c r="A81" s="1329" t="s">
        <v>845</v>
      </c>
      <c r="B81" s="1329" t="s">
        <v>846</v>
      </c>
      <c r="C81" s="1331">
        <v>0</v>
      </c>
      <c r="D81" s="1331">
        <v>-5300</v>
      </c>
      <c r="E81" s="1331">
        <v>-5300</v>
      </c>
      <c r="F81" s="1329" t="s">
        <v>816</v>
      </c>
      <c r="G81" s="1329" t="s">
        <v>846</v>
      </c>
      <c r="H81" s="1329" t="s">
        <v>3942</v>
      </c>
      <c r="I81" s="1281"/>
      <c r="J81" s="1281"/>
      <c r="K81" s="1281"/>
      <c r="L81" s="653" t="str">
        <f t="shared" si="67"/>
        <v>1413</v>
      </c>
      <c r="M81" s="654" t="str">
        <f t="shared" si="0"/>
        <v>BRUISING USED CAR</v>
      </c>
      <c r="N81" s="655">
        <f>+IF(OR($Q81=Parametres!$G$2,$Q81=Parametres!$G$3),I81,C81)</f>
        <v>0</v>
      </c>
      <c r="O81" s="655">
        <f>+IF(OR($Q81=Parametres!$G$2,$Q81=Parametres!$G$3),J81,D81)</f>
        <v>-5300</v>
      </c>
      <c r="P81" s="655">
        <f>+IF(OR($Q81=Parametres!$G$2,$Q81=Parametres!$G$3),K81,E81)</f>
        <v>-5300</v>
      </c>
      <c r="Q81" s="654" t="str">
        <f t="shared" ref="Q81:S81" si="82">+F81</f>
        <v>2-Actifs</v>
      </c>
      <c r="R81" s="653" t="str">
        <f t="shared" si="82"/>
        <v>1413</v>
      </c>
      <c r="S81" s="654" t="str">
        <f t="shared" si="82"/>
        <v>_</v>
      </c>
      <c r="T81" s="656" t="str">
        <f>+VLOOKUP($L81,Data_Validation!$A:$D,1,0)</f>
        <v>1413</v>
      </c>
      <c r="U81" s="656" t="str">
        <f>+VLOOKUP($L81,Data_Validation!$A:$D,3,0)</f>
        <v>Bilan</v>
      </c>
      <c r="V81" s="656" t="str">
        <f>+VLOOKUP($L81,Data_Validation!$A:$D,4,0)</f>
        <v>Inventaire Véhicules Usagés</v>
      </c>
      <c r="W81" s="656" t="str">
        <f>+VLOOKUP($L81,Data_Validation!$A:$E,5,0)</f>
        <v>$</v>
      </c>
      <c r="X81" s="656">
        <f>+VLOOKUP($L81,Data_Validation!$A:$F,6,0)</f>
        <v>0</v>
      </c>
    </row>
    <row r="82" spans="1:24" ht="15" customHeight="1">
      <c r="A82" s="1329" t="s">
        <v>847</v>
      </c>
      <c r="B82" s="1329" t="s">
        <v>848</v>
      </c>
      <c r="C82" s="1331">
        <v>845596.33</v>
      </c>
      <c r="D82" s="1331">
        <v>218152.4</v>
      </c>
      <c r="E82" s="1331">
        <v>1063748.73</v>
      </c>
      <c r="F82" s="1329" t="s">
        <v>816</v>
      </c>
      <c r="G82" s="1329" t="s">
        <v>848</v>
      </c>
      <c r="H82" s="1329" t="s">
        <v>3942</v>
      </c>
      <c r="I82" s="1281"/>
      <c r="J82" s="1281"/>
      <c r="K82" s="1281"/>
      <c r="L82" s="653" t="str">
        <f t="shared" si="67"/>
        <v>1416</v>
      </c>
      <c r="M82" s="654" t="str">
        <f t="shared" si="0"/>
        <v>INV. VEH. USAGE VW</v>
      </c>
      <c r="N82" s="655">
        <f>+IF(OR($Q82=Parametres!$G$2,$Q82=Parametres!$G$3),I82,C82)</f>
        <v>845596.33</v>
      </c>
      <c r="O82" s="655">
        <f>+IF(OR($Q82=Parametres!$G$2,$Q82=Parametres!$G$3),J82,D82)</f>
        <v>218152.4</v>
      </c>
      <c r="P82" s="655">
        <f>+IF(OR($Q82=Parametres!$G$2,$Q82=Parametres!$G$3),K82,E82)</f>
        <v>1063748.73</v>
      </c>
      <c r="Q82" s="654" t="str">
        <f t="shared" ref="Q82:S82" si="83">+F82</f>
        <v>2-Actifs</v>
      </c>
      <c r="R82" s="653" t="str">
        <f t="shared" si="83"/>
        <v>1416</v>
      </c>
      <c r="S82" s="654" t="str">
        <f t="shared" si="83"/>
        <v>_</v>
      </c>
      <c r="T82" s="656" t="str">
        <f>+VLOOKUP($L82,Data_Validation!$A:$D,1,0)</f>
        <v>1416</v>
      </c>
      <c r="U82" s="656" t="str">
        <f>+VLOOKUP($L82,Data_Validation!$A:$D,3,0)</f>
        <v>Bilan</v>
      </c>
      <c r="V82" s="656" t="str">
        <f>+VLOOKUP($L82,Data_Validation!$A:$D,4,0)</f>
        <v>Inventaire Véhicules Usagés</v>
      </c>
      <c r="W82" s="656" t="str">
        <f>+VLOOKUP($L82,Data_Validation!$A:$E,5,0)</f>
        <v>$</v>
      </c>
      <c r="X82" s="656">
        <f>+VLOOKUP($L82,Data_Validation!$A:$F,6,0)</f>
        <v>0</v>
      </c>
    </row>
    <row r="83" spans="1:24" ht="15" customHeight="1">
      <c r="A83" s="1329" t="s">
        <v>851</v>
      </c>
      <c r="B83" s="1329" t="s">
        <v>852</v>
      </c>
      <c r="C83" s="1331">
        <v>0</v>
      </c>
      <c r="D83" s="1331">
        <v>6969.58</v>
      </c>
      <c r="E83" s="1331">
        <v>6969.58</v>
      </c>
      <c r="F83" s="1329" t="s">
        <v>816</v>
      </c>
      <c r="G83" s="1329" t="s">
        <v>852</v>
      </c>
      <c r="H83" s="1329" t="s">
        <v>3942</v>
      </c>
      <c r="I83" s="1281"/>
      <c r="J83" s="1281"/>
      <c r="K83" s="1281"/>
      <c r="L83" s="653" t="str">
        <f t="shared" si="67"/>
        <v>1423</v>
      </c>
      <c r="M83" s="654" t="str">
        <f t="shared" si="0"/>
        <v>RESERVE DEMO</v>
      </c>
      <c r="N83" s="655">
        <f>+IF(OR($Q83=Parametres!$G$2,$Q83=Parametres!$G$3),I83,C83)</f>
        <v>0</v>
      </c>
      <c r="O83" s="655">
        <f>+IF(OR($Q83=Parametres!$G$2,$Q83=Parametres!$G$3),J83,D83)</f>
        <v>6969.58</v>
      </c>
      <c r="P83" s="655">
        <f>+IF(OR($Q83=Parametres!$G$2,$Q83=Parametres!$G$3),K83,E83)</f>
        <v>6969.58</v>
      </c>
      <c r="Q83" s="654" t="str">
        <f t="shared" ref="Q83:S83" si="84">+F83</f>
        <v>2-Actifs</v>
      </c>
      <c r="R83" s="653" t="str">
        <f t="shared" si="84"/>
        <v>1423</v>
      </c>
      <c r="S83" s="654" t="str">
        <f t="shared" si="84"/>
        <v>_</v>
      </c>
      <c r="T83" s="656" t="str">
        <f>+VLOOKUP($L83,Data_Validation!$A:$D,1,0)</f>
        <v>1423</v>
      </c>
      <c r="U83" s="656" t="str">
        <f>+VLOOKUP($L83,Data_Validation!$A:$D,3,0)</f>
        <v>Bilan</v>
      </c>
      <c r="V83" s="656" t="str">
        <f>+VLOOKUP($L83,Data_Validation!$A:$D,4,0)</f>
        <v>Inventaire Véhicules Neufs</v>
      </c>
      <c r="W83" s="656" t="str">
        <f>+VLOOKUP($L83,Data_Validation!$A:$E,5,0)</f>
        <v>$</v>
      </c>
      <c r="X83" s="656">
        <f>+VLOOKUP($L83,Data_Validation!$A:$F,6,0)</f>
        <v>0</v>
      </c>
    </row>
    <row r="84" spans="1:24" ht="15.75" customHeight="1">
      <c r="A84" s="1329" t="s">
        <v>853</v>
      </c>
      <c r="B84" s="1329" t="s">
        <v>3365</v>
      </c>
      <c r="C84" s="1331">
        <v>-174.58</v>
      </c>
      <c r="D84" s="1331">
        <v>-3172.98</v>
      </c>
      <c r="E84" s="1331">
        <v>-3347.56</v>
      </c>
      <c r="F84" s="1329" t="s">
        <v>816</v>
      </c>
      <c r="G84" s="1329" t="s">
        <v>854</v>
      </c>
      <c r="H84" s="1329" t="s">
        <v>3942</v>
      </c>
      <c r="I84" s="1281"/>
      <c r="J84" s="1281"/>
      <c r="K84" s="1281"/>
      <c r="L84" s="653" t="str">
        <f t="shared" si="67"/>
        <v>1433</v>
      </c>
      <c r="M84" s="654" t="str">
        <f t="shared" si="0"/>
        <v>RESERVE COURTOISIE</v>
      </c>
      <c r="N84" s="655">
        <f>+IF(OR($Q84=Parametres!$G$2,$Q84=Parametres!$G$3),I84,C84)</f>
        <v>-174.58</v>
      </c>
      <c r="O84" s="655">
        <f>+IF(OR($Q84=Parametres!$G$2,$Q84=Parametres!$G$3),J84,D84)</f>
        <v>-3172.98</v>
      </c>
      <c r="P84" s="661">
        <f>+IF(OR($Q84=Parametres!$G$2,$Q84=Parametres!$G$3),K84,E84)</f>
        <v>-3347.56</v>
      </c>
      <c r="Q84" s="654" t="str">
        <f t="shared" ref="Q84:S84" si="85">+F84</f>
        <v>2-Actifs</v>
      </c>
      <c r="R84" s="653" t="str">
        <f t="shared" si="85"/>
        <v>143</v>
      </c>
      <c r="S84" s="654" t="str">
        <f t="shared" si="85"/>
        <v>_</v>
      </c>
      <c r="T84" s="656" t="str">
        <f>+VLOOKUP($L84,Data_Validation!$A:$D,1,0)</f>
        <v>1433</v>
      </c>
      <c r="U84" s="656" t="str">
        <f>+VLOOKUP($L84,Data_Validation!$A:$D,3,0)</f>
        <v>Bilan</v>
      </c>
      <c r="V84" s="656" t="str">
        <f>+VLOOKUP($L84,Data_Validation!$A:$D,4,0)</f>
        <v>Inventaire Véhicules Neufs</v>
      </c>
      <c r="W84" s="656" t="str">
        <f>+VLOOKUP($L84,Data_Validation!$A:$E,5,0)</f>
        <v>$</v>
      </c>
      <c r="X84" s="656">
        <f>+VLOOKUP($L84,Data_Validation!$A:$F,6,0)</f>
        <v>0</v>
      </c>
    </row>
    <row r="85" spans="1:24" ht="15" customHeight="1">
      <c r="A85" s="1329" t="s">
        <v>855</v>
      </c>
      <c r="B85" s="1329" t="s">
        <v>856</v>
      </c>
      <c r="C85" s="1331">
        <v>355614.7</v>
      </c>
      <c r="D85" s="1331">
        <v>83660.08</v>
      </c>
      <c r="E85" s="1331">
        <v>439274.78</v>
      </c>
      <c r="F85" s="1329" t="s">
        <v>816</v>
      </c>
      <c r="G85" s="1329" t="s">
        <v>856</v>
      </c>
      <c r="H85" s="1329" t="s">
        <v>3942</v>
      </c>
      <c r="I85" s="1281"/>
      <c r="J85" s="1281"/>
      <c r="K85" s="1281"/>
      <c r="L85" s="653" t="str">
        <f t="shared" si="67"/>
        <v>1442</v>
      </c>
      <c r="M85" s="654" t="str">
        <f t="shared" si="0"/>
        <v>PIECES &amp; ACCESSOIRES NEUFS</v>
      </c>
      <c r="N85" s="655">
        <f>+IF(OR($Q85=Parametres!$G$2,$Q85=Parametres!$G$3),I85,C85)</f>
        <v>355614.7</v>
      </c>
      <c r="O85" s="655">
        <f>+IF(OR($Q85=Parametres!$G$2,$Q85=Parametres!$G$3),J85,D85)</f>
        <v>83660.08</v>
      </c>
      <c r="P85" s="661">
        <f>+IF(OR($Q85=Parametres!$G$2,$Q85=Parametres!$G$3),K85,E85)</f>
        <v>439274.78</v>
      </c>
      <c r="Q85" s="654" t="str">
        <f t="shared" ref="Q85:S85" si="86">+F85</f>
        <v>2-Actifs</v>
      </c>
      <c r="R85" s="653" t="str">
        <f t="shared" si="86"/>
        <v>1442</v>
      </c>
      <c r="S85" s="654" t="str">
        <f t="shared" si="86"/>
        <v>_</v>
      </c>
      <c r="T85" s="656" t="str">
        <f>+VLOOKUP($L85,Data_Validation!$A:$D,1,0)</f>
        <v>1442</v>
      </c>
      <c r="U85" s="656" t="str">
        <f>+VLOOKUP($L85,Data_Validation!$A:$D,3,0)</f>
        <v>Bilan</v>
      </c>
      <c r="V85" s="656" t="str">
        <f>+VLOOKUP($L85,Data_Validation!$A:$D,4,0)</f>
        <v>Inventaire Pièces, Pneus, Huile</v>
      </c>
      <c r="W85" s="656" t="str">
        <f>+VLOOKUP($L85,Data_Validation!$A:$E,5,0)</f>
        <v>$</v>
      </c>
      <c r="X85" s="656">
        <f>+VLOOKUP($L85,Data_Validation!$A:$F,6,0)</f>
        <v>0</v>
      </c>
    </row>
    <row r="86" spans="1:24" ht="15" customHeight="1">
      <c r="A86" s="1329" t="s">
        <v>857</v>
      </c>
      <c r="B86" s="1329" t="s">
        <v>3366</v>
      </c>
      <c r="C86" s="1331">
        <v>-546486.96</v>
      </c>
      <c r="D86" s="1331">
        <v>553946.49</v>
      </c>
      <c r="E86" s="1331">
        <v>7459.53</v>
      </c>
      <c r="F86" s="1329" t="s">
        <v>816</v>
      </c>
      <c r="G86" s="1329" t="s">
        <v>856</v>
      </c>
      <c r="H86" s="1329" t="s">
        <v>3942</v>
      </c>
      <c r="I86" s="1281"/>
      <c r="J86" s="1281"/>
      <c r="K86" s="1281"/>
      <c r="L86" s="653" t="str">
        <f t="shared" si="67"/>
        <v>1448</v>
      </c>
      <c r="M86" s="654" t="str">
        <f t="shared" si="0"/>
        <v>AUTRES MARQUES P&amp;A</v>
      </c>
      <c r="N86" s="655">
        <f>+IF(OR($Q86=Parametres!$G$2,$Q86=Parametres!$G$3),I86,C86)</f>
        <v>-546486.96</v>
      </c>
      <c r="O86" s="655">
        <f>+IF(OR($Q86=Parametres!$G$2,$Q86=Parametres!$G$3),J86,D86)</f>
        <v>553946.49</v>
      </c>
      <c r="P86" s="661">
        <f>+IF(OR($Q86=Parametres!$G$2,$Q86=Parametres!$G$3),K86,E86)</f>
        <v>7459.53</v>
      </c>
      <c r="Q86" s="654" t="str">
        <f t="shared" ref="Q86:S86" si="87">+F86</f>
        <v>2-Actifs</v>
      </c>
      <c r="R86" s="653" t="str">
        <f t="shared" si="87"/>
        <v>1442</v>
      </c>
      <c r="S86" s="654" t="str">
        <f t="shared" si="87"/>
        <v>_</v>
      </c>
      <c r="T86" s="656" t="str">
        <f>+VLOOKUP($L86,Data_Validation!$A:$D,1,0)</f>
        <v>1448</v>
      </c>
      <c r="U86" s="656" t="str">
        <f>+VLOOKUP($L86,Data_Validation!$A:$D,3,0)</f>
        <v>Bilan</v>
      </c>
      <c r="V86" s="656" t="str">
        <f>+VLOOKUP($L86,Data_Validation!$A:$D,4,0)</f>
        <v>Inventaire Pièces, Pneus, Huile</v>
      </c>
      <c r="W86" s="656" t="str">
        <f>+VLOOKUP($L86,Data_Validation!$A:$E,5,0)</f>
        <v>$</v>
      </c>
      <c r="X86" s="656">
        <f>+VLOOKUP($L86,Data_Validation!$A:$F,6,0)</f>
        <v>0</v>
      </c>
    </row>
    <row r="87" spans="1:24" ht="15" customHeight="1">
      <c r="A87" s="1329" t="s">
        <v>858</v>
      </c>
      <c r="B87" s="1329" t="s">
        <v>1498</v>
      </c>
      <c r="C87" s="1331">
        <v>728057.81</v>
      </c>
      <c r="D87" s="1331">
        <v>-690189.34</v>
      </c>
      <c r="E87" s="1331">
        <v>37868.47</v>
      </c>
      <c r="F87" s="1329" t="s">
        <v>816</v>
      </c>
      <c r="G87" s="1329" t="s">
        <v>856</v>
      </c>
      <c r="H87" s="1329" t="s">
        <v>3942</v>
      </c>
      <c r="I87" s="1281"/>
      <c r="J87" s="1281"/>
      <c r="K87" s="1281"/>
      <c r="L87" s="653" t="str">
        <f t="shared" si="67"/>
        <v>1452</v>
      </c>
      <c r="M87" s="654" t="str">
        <f t="shared" si="0"/>
        <v>PNEUS</v>
      </c>
      <c r="N87" s="655">
        <f>+IF(OR($Q87=Parametres!$G$2,$Q87=Parametres!$G$3),I87,C87)</f>
        <v>728057.81</v>
      </c>
      <c r="O87" s="655">
        <f>+IF(OR($Q87=Parametres!$G$2,$Q87=Parametres!$G$3),J87,D87)</f>
        <v>-690189.34</v>
      </c>
      <c r="P87" s="661">
        <f>+IF(OR($Q87=Parametres!$G$2,$Q87=Parametres!$G$3),K87,E87)</f>
        <v>37868.47</v>
      </c>
      <c r="Q87" s="654" t="str">
        <f t="shared" ref="Q87:S87" si="88">+F87</f>
        <v>2-Actifs</v>
      </c>
      <c r="R87" s="653" t="str">
        <f t="shared" si="88"/>
        <v>1442</v>
      </c>
      <c r="S87" s="654" t="str">
        <f t="shared" si="88"/>
        <v>_</v>
      </c>
      <c r="T87" s="656" t="str">
        <f>+VLOOKUP($L87,Data_Validation!$A:$D,1,0)</f>
        <v>1452</v>
      </c>
      <c r="U87" s="656" t="str">
        <f>+VLOOKUP($L87,Data_Validation!$A:$D,3,0)</f>
        <v>Bilan</v>
      </c>
      <c r="V87" s="656" t="str">
        <f>+VLOOKUP($L87,Data_Validation!$A:$D,4,0)</f>
        <v>Inventaire Pièces, Pneus, Huile</v>
      </c>
      <c r="W87" s="656" t="str">
        <f>+VLOOKUP($L87,Data_Validation!$A:$E,5,0)</f>
        <v>$</v>
      </c>
      <c r="X87" s="656">
        <f>+VLOOKUP($L87,Data_Validation!$A:$F,6,0)</f>
        <v>0</v>
      </c>
    </row>
    <row r="88" spans="1:24" ht="15" customHeight="1">
      <c r="A88" s="1329" t="s">
        <v>859</v>
      </c>
      <c r="B88" s="1329" t="s">
        <v>860</v>
      </c>
      <c r="C88" s="1331">
        <v>71276.649999999994</v>
      </c>
      <c r="D88" s="1331">
        <v>-71276.649999999994</v>
      </c>
      <c r="E88" s="1331">
        <v>0</v>
      </c>
      <c r="F88" s="1329" t="s">
        <v>816</v>
      </c>
      <c r="G88" s="1329" t="s">
        <v>860</v>
      </c>
      <c r="H88" s="1329" t="s">
        <v>3942</v>
      </c>
      <c r="I88" s="1281"/>
      <c r="J88" s="1281"/>
      <c r="K88" s="1281"/>
      <c r="L88" s="653" t="str">
        <f t="shared" si="67"/>
        <v>1456</v>
      </c>
      <c r="M88" s="654" t="str">
        <f t="shared" si="0"/>
        <v>PIECES VW NON ORIGINE</v>
      </c>
      <c r="N88" s="655">
        <f>+IF(OR($Q88=Parametres!$G$2,$Q88=Parametres!$G$3),I88,C88)</f>
        <v>71276.649999999994</v>
      </c>
      <c r="O88" s="655">
        <f>+IF(OR($Q88=Parametres!$G$2,$Q88=Parametres!$G$3),J88,D88)</f>
        <v>-71276.649999999994</v>
      </c>
      <c r="P88" s="655">
        <f>+IF(OR($Q88=Parametres!$G$2,$Q88=Parametres!$G$3),K88,E88)</f>
        <v>0</v>
      </c>
      <c r="Q88" s="654" t="str">
        <f t="shared" ref="Q88:S88" si="89">+F88</f>
        <v>2-Actifs</v>
      </c>
      <c r="R88" s="653" t="str">
        <f t="shared" si="89"/>
        <v>1456</v>
      </c>
      <c r="S88" s="654" t="str">
        <f t="shared" si="89"/>
        <v>_</v>
      </c>
      <c r="T88" s="656" t="str">
        <f>+VLOOKUP($L88,Data_Validation!$A:$D,1,0)</f>
        <v>1456</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329" t="s">
        <v>861</v>
      </c>
      <c r="B89" s="1329" t="s">
        <v>862</v>
      </c>
      <c r="C89" s="1331">
        <v>15413.84</v>
      </c>
      <c r="D89" s="1331">
        <v>2203.88</v>
      </c>
      <c r="E89" s="1331">
        <v>17617.72</v>
      </c>
      <c r="F89" s="1329" t="s">
        <v>816</v>
      </c>
      <c r="G89" s="1329" t="s">
        <v>862</v>
      </c>
      <c r="H89" s="1329" t="s">
        <v>3942</v>
      </c>
      <c r="I89" s="1281"/>
      <c r="J89" s="1281"/>
      <c r="K89" s="1281"/>
      <c r="L89" s="653" t="str">
        <f t="shared" si="67"/>
        <v>1472</v>
      </c>
      <c r="M89" s="654" t="str">
        <f t="shared" si="0"/>
        <v>WIP M-O VW</v>
      </c>
      <c r="N89" s="655">
        <f>+IF(OR($Q89=Parametres!$G$2,$Q89=Parametres!$G$3),I89,C89)</f>
        <v>15413.84</v>
      </c>
      <c r="O89" s="659">
        <f>+IF(OR($Q89=Parametres!$G$2,$Q89=Parametres!$G$3),J89,D89)</f>
        <v>2203.88</v>
      </c>
      <c r="P89" s="655">
        <f>+IF(OR($Q89=Parametres!$G$2,$Q89=Parametres!$G$3),K89,E89)</f>
        <v>17617.72</v>
      </c>
      <c r="Q89" s="654" t="str">
        <f t="shared" ref="Q89:S89" si="90">+F89</f>
        <v>2-Actifs</v>
      </c>
      <c r="R89" s="653" t="str">
        <f t="shared" si="90"/>
        <v>1472</v>
      </c>
      <c r="S89" s="654" t="str">
        <f t="shared" si="90"/>
        <v>_</v>
      </c>
      <c r="T89" s="656" t="str">
        <f>+VLOOKUP($L89,Data_Validation!$A:$D,1,0)</f>
        <v>1472</v>
      </c>
      <c r="U89" s="656" t="str">
        <f>+VLOOKUP($L89,Data_Validation!$A:$D,3,0)</f>
        <v>Bilan</v>
      </c>
      <c r="V89" s="656" t="str">
        <f>+VLOOKUP($L89,Data_Validation!$A:$D,4,0)</f>
        <v>Travaux en Cours</v>
      </c>
      <c r="W89" s="656" t="str">
        <f>+VLOOKUP($L89,Data_Validation!$A:$E,5,0)</f>
        <v>$</v>
      </c>
      <c r="X89" s="656">
        <f>+VLOOKUP($L89,Data_Validation!$A:$F,6,0)</f>
        <v>0</v>
      </c>
    </row>
    <row r="90" spans="1:24" ht="15" customHeight="1">
      <c r="A90" s="1329" t="s">
        <v>863</v>
      </c>
      <c r="B90" s="1329" t="s">
        <v>1505</v>
      </c>
      <c r="C90" s="1331">
        <v>35585.589999999997</v>
      </c>
      <c r="D90" s="1331">
        <v>-30056.62</v>
      </c>
      <c r="E90" s="1331">
        <v>5528.97</v>
      </c>
      <c r="F90" s="1329" t="s">
        <v>816</v>
      </c>
      <c r="G90" s="1329" t="s">
        <v>862</v>
      </c>
      <c r="H90" s="1329" t="s">
        <v>3942</v>
      </c>
      <c r="I90" s="1281"/>
      <c r="J90" s="1281"/>
      <c r="K90" s="1281"/>
      <c r="L90" s="653" t="str">
        <f t="shared" si="67"/>
        <v>1474</v>
      </c>
      <c r="M90" s="654" t="str">
        <f t="shared" si="0"/>
        <v>INVENTAIRE SOUS-TRAITANTS</v>
      </c>
      <c r="N90" s="655">
        <f>+IF(OR($Q90=Parametres!$G$2,$Q90=Parametres!$G$3),I90,C90)</f>
        <v>35585.589999999997</v>
      </c>
      <c r="O90" s="655">
        <f>+IF(OR($Q90=Parametres!$G$2,$Q90=Parametres!$G$3),J90,D90)</f>
        <v>-30056.62</v>
      </c>
      <c r="P90" s="662">
        <f>+IF(OR($Q90=Parametres!$G$2,$Q90=Parametres!$G$3),K90,E90)</f>
        <v>5528.97</v>
      </c>
      <c r="Q90" s="654" t="str">
        <f t="shared" ref="Q90:S90" si="91">+F90</f>
        <v>2-Actifs</v>
      </c>
      <c r="R90" s="653" t="str">
        <f t="shared" si="91"/>
        <v>1472</v>
      </c>
      <c r="S90" s="654" t="str">
        <f t="shared" si="91"/>
        <v>_</v>
      </c>
      <c r="T90" s="656" t="str">
        <f>+VLOOKUP($L90,Data_Validation!$A:$D,1,0)</f>
        <v>1474</v>
      </c>
      <c r="U90" s="656" t="str">
        <f>+VLOOKUP($L90,Data_Validation!$A:$D,3,0)</f>
        <v>Bilan</v>
      </c>
      <c r="V90" s="656" t="str">
        <f>+VLOOKUP($L90,Data_Validation!$A:$D,4,0)</f>
        <v>Sous-Traitance</v>
      </c>
      <c r="W90" s="656" t="str">
        <f>+VLOOKUP($L90,Data_Validation!$A:$E,5,0)</f>
        <v>$</v>
      </c>
      <c r="X90" s="656">
        <f>+VLOOKUP($L90,Data_Validation!$A:$F,6,0)</f>
        <v>0</v>
      </c>
    </row>
    <row r="91" spans="1:24" ht="15" customHeight="1">
      <c r="A91" s="1329" t="s">
        <v>864</v>
      </c>
      <c r="B91" s="1329" t="s">
        <v>1508</v>
      </c>
      <c r="C91" s="1331">
        <v>28724.78</v>
      </c>
      <c r="D91" s="1331">
        <v>12497.43</v>
      </c>
      <c r="E91" s="1331">
        <v>41222.21</v>
      </c>
      <c r="F91" s="1329" t="s">
        <v>816</v>
      </c>
      <c r="G91" s="1329" t="s">
        <v>856</v>
      </c>
      <c r="H91" s="1329" t="s">
        <v>3942</v>
      </c>
      <c r="I91" s="1281"/>
      <c r="J91" s="1281"/>
      <c r="K91" s="1281"/>
      <c r="L91" s="653" t="str">
        <f t="shared" si="67"/>
        <v>1492</v>
      </c>
      <c r="M91" s="654" t="str">
        <f t="shared" si="0"/>
        <v>CARBURANT, HUILE, GRAISSE</v>
      </c>
      <c r="N91" s="655">
        <f>+IF(OR($Q91=Parametres!$G$2,$Q91=Parametres!$G$3),I91,C91)</f>
        <v>28724.78</v>
      </c>
      <c r="O91" s="655">
        <f>+IF(OR($Q91=Parametres!$G$2,$Q91=Parametres!$G$3),J91,D91)</f>
        <v>12497.43</v>
      </c>
      <c r="P91" s="662">
        <f>+IF(OR($Q91=Parametres!$G$2,$Q91=Parametres!$G$3),K91,E91)</f>
        <v>41222.21</v>
      </c>
      <c r="Q91" s="654" t="str">
        <f t="shared" ref="Q91:S91" si="92">+F91</f>
        <v>2-Actifs</v>
      </c>
      <c r="R91" s="653" t="str">
        <f t="shared" si="92"/>
        <v>1442</v>
      </c>
      <c r="S91" s="654" t="str">
        <f t="shared" si="92"/>
        <v>_</v>
      </c>
      <c r="T91" s="656" t="str">
        <f>+VLOOKUP($L91,Data_Validation!$A:$D,1,0)</f>
        <v>1492</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329" t="s">
        <v>871</v>
      </c>
      <c r="B92" s="1329" t="s">
        <v>1525</v>
      </c>
      <c r="C92" s="1331">
        <v>5914.8</v>
      </c>
      <c r="D92" s="1331">
        <v>0</v>
      </c>
      <c r="E92" s="1331">
        <v>5914.8</v>
      </c>
      <c r="F92" s="1329" t="s">
        <v>816</v>
      </c>
      <c r="G92" s="1329" t="s">
        <v>868</v>
      </c>
      <c r="H92" s="1329" t="s">
        <v>3942</v>
      </c>
      <c r="I92" s="1281"/>
      <c r="J92" s="1281"/>
      <c r="K92" s="1281"/>
      <c r="L92" s="653" t="str">
        <f t="shared" si="67"/>
        <v>1510</v>
      </c>
      <c r="M92" s="654" t="str">
        <f t="shared" si="0"/>
        <v>DIAMOND KOTE (NANO)</v>
      </c>
      <c r="N92" s="655">
        <f>+IF(OR($Q92=Parametres!$G$2,$Q92=Parametres!$G$3),I92,C92)</f>
        <v>5914.8</v>
      </c>
      <c r="O92" s="655">
        <f>+IF(OR($Q92=Parametres!$G$2,$Q92=Parametres!$G$3),J92,D92)</f>
        <v>0</v>
      </c>
      <c r="P92" s="662">
        <f>+IF(OR($Q92=Parametres!$G$2,$Q92=Parametres!$G$3),K92,E92)</f>
        <v>5914.8</v>
      </c>
      <c r="Q92" s="654" t="str">
        <f t="shared" ref="Q92:S92" si="93">+F92</f>
        <v>2-Actifs</v>
      </c>
      <c r="R92" s="653" t="str">
        <f t="shared" si="93"/>
        <v>1500</v>
      </c>
      <c r="S92" s="654" t="str">
        <f t="shared" si="93"/>
        <v>_</v>
      </c>
      <c r="T92" s="656" t="str">
        <f>+VLOOKUP($L92,Data_Validation!$A:$D,1,0)</f>
        <v>1510</v>
      </c>
      <c r="U92" s="656" t="str">
        <f>+VLOOKUP($L92,Data_Validation!$A:$D,3,0)</f>
        <v>Bilan</v>
      </c>
      <c r="V92" s="656" t="str">
        <f>+VLOOKUP($L92,Data_Validation!$A:$D,4,0)</f>
        <v>Frais Payés d'Avance</v>
      </c>
      <c r="W92" s="656" t="str">
        <f>+VLOOKUP($L92,Data_Validation!$A:$E,5,0)</f>
        <v>$</v>
      </c>
      <c r="X92" s="656">
        <f>+VLOOKUP($L92,Data_Validation!$A:$F,6,0)</f>
        <v>0</v>
      </c>
    </row>
    <row r="93" spans="1:24" ht="15" customHeight="1">
      <c r="A93" s="1329" t="s">
        <v>872</v>
      </c>
      <c r="B93" s="1329" t="s">
        <v>1528</v>
      </c>
      <c r="C93" s="1331">
        <v>2358.71</v>
      </c>
      <c r="D93" s="1331">
        <v>-1769.03</v>
      </c>
      <c r="E93" s="1331">
        <v>589.67999999999995</v>
      </c>
      <c r="F93" s="1329" t="s">
        <v>816</v>
      </c>
      <c r="G93" s="1329" t="s">
        <v>868</v>
      </c>
      <c r="H93" s="1329" t="s">
        <v>3942</v>
      </c>
      <c r="I93" s="1281"/>
      <c r="J93" s="1281"/>
      <c r="K93" s="1281"/>
      <c r="L93" s="653" t="str">
        <f t="shared" si="67"/>
        <v>1520</v>
      </c>
      <c r="M93" s="654" t="str">
        <f t="shared" si="0"/>
        <v>FPA IMMATRICULATION</v>
      </c>
      <c r="N93" s="655">
        <f>+IF(OR($Q93=Parametres!$G$2,$Q93=Parametres!$G$3),I93,C93)</f>
        <v>2358.71</v>
      </c>
      <c r="O93" s="655">
        <f>+IF(OR($Q93=Parametres!$G$2,$Q93=Parametres!$G$3),J93,D93)</f>
        <v>-1769.03</v>
      </c>
      <c r="P93" s="662">
        <f>+IF(OR($Q93=Parametres!$G$2,$Q93=Parametres!$G$3),K93,E93)</f>
        <v>589.67999999999995</v>
      </c>
      <c r="Q93" s="654" t="str">
        <f t="shared" ref="Q93:S93" si="94">+F93</f>
        <v>2-Actifs</v>
      </c>
      <c r="R93" s="653" t="str">
        <f t="shared" si="94"/>
        <v>1500</v>
      </c>
      <c r="S93" s="654" t="str">
        <f t="shared" si="94"/>
        <v>_</v>
      </c>
      <c r="T93" s="656" t="str">
        <f>+VLOOKUP($L93,Data_Validation!$A:$D,1,0)</f>
        <v>1520</v>
      </c>
      <c r="U93" s="656" t="str">
        <f>+VLOOKUP($L93,Data_Validation!$A:$D,3,0)</f>
        <v>Bilan</v>
      </c>
      <c r="V93" s="656" t="str">
        <f>+VLOOKUP($L93,Data_Validation!$A:$D,4,0)</f>
        <v>Frais Payés d'Avance</v>
      </c>
      <c r="W93" s="656" t="str">
        <f>+VLOOKUP($L93,Data_Validation!$A:$E,5,0)</f>
        <v>$</v>
      </c>
      <c r="X93" s="656">
        <f>+VLOOKUP($L93,Data_Validation!$A:$F,6,0)</f>
        <v>0</v>
      </c>
    </row>
    <row r="94" spans="1:24" ht="15.75" customHeight="1">
      <c r="A94" s="1329" t="s">
        <v>3943</v>
      </c>
      <c r="B94" s="1329" t="s">
        <v>1531</v>
      </c>
      <c r="C94" s="1331">
        <v>75</v>
      </c>
      <c r="D94" s="1331">
        <v>0</v>
      </c>
      <c r="E94" s="1331">
        <v>75</v>
      </c>
      <c r="F94" s="1329" t="s">
        <v>816</v>
      </c>
      <c r="G94" s="1329" t="s">
        <v>868</v>
      </c>
      <c r="H94" s="1329" t="s">
        <v>3942</v>
      </c>
      <c r="I94" s="1281"/>
      <c r="J94" s="1281"/>
      <c r="K94" s="1281"/>
      <c r="L94" s="653" t="str">
        <f t="shared" si="67"/>
        <v>1522</v>
      </c>
      <c r="M94" s="654" t="str">
        <f t="shared" si="0"/>
        <v>FPA recours coll</v>
      </c>
      <c r="N94" s="655">
        <f>+IF(OR($Q94=Parametres!$G$2,$Q94=Parametres!$G$3),I94,C94)</f>
        <v>75</v>
      </c>
      <c r="O94" s="655">
        <f>+IF(OR($Q94=Parametres!$G$2,$Q94=Parametres!$G$3),J94,D94)</f>
        <v>0</v>
      </c>
      <c r="P94" s="655">
        <f>+IF(OR($Q94=Parametres!$G$2,$Q94=Parametres!$G$3),K94,E94)</f>
        <v>75</v>
      </c>
      <c r="Q94" s="654" t="str">
        <f t="shared" ref="Q94:S94" si="95">+F94</f>
        <v>2-Actifs</v>
      </c>
      <c r="R94" s="653" t="str">
        <f t="shared" si="95"/>
        <v>1500</v>
      </c>
      <c r="S94" s="654" t="str">
        <f t="shared" si="95"/>
        <v>_</v>
      </c>
      <c r="T94" s="656" t="str">
        <f>+VLOOKUP($L94,Data_Validation!$A:$D,1,0)</f>
        <v>1522</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329" t="s">
        <v>880</v>
      </c>
      <c r="B95" s="1329" t="s">
        <v>1564</v>
      </c>
      <c r="C95" s="1331">
        <v>285.99</v>
      </c>
      <c r="D95" s="1331">
        <v>50389.81</v>
      </c>
      <c r="E95" s="1331">
        <v>50675.8</v>
      </c>
      <c r="F95" s="1329" t="s">
        <v>816</v>
      </c>
      <c r="G95" s="1329" t="s">
        <v>868</v>
      </c>
      <c r="H95" s="1329" t="s">
        <v>3942</v>
      </c>
      <c r="I95" s="1281"/>
      <c r="J95" s="1281"/>
      <c r="K95" s="1281"/>
      <c r="L95" s="653" t="str">
        <f t="shared" si="67"/>
        <v>1582</v>
      </c>
      <c r="M95" s="654" t="str">
        <f t="shared" si="0"/>
        <v>FPA TAXES MUNICIPALES</v>
      </c>
      <c r="N95" s="655">
        <f>+IF(OR($Q95=Parametres!$G$2,$Q95=Parametres!$G$3),I95,C95)</f>
        <v>285.99</v>
      </c>
      <c r="O95" s="655">
        <f>+IF(OR($Q95=Parametres!$G$2,$Q95=Parametres!$G$3),J95,D95)</f>
        <v>50389.81</v>
      </c>
      <c r="P95" s="655">
        <f>+IF(OR($Q95=Parametres!$G$2,$Q95=Parametres!$G$3),K95,E95)</f>
        <v>50675.8</v>
      </c>
      <c r="Q95" s="654" t="str">
        <f t="shared" ref="Q95:S95" si="96">+F95</f>
        <v>2-Actifs</v>
      </c>
      <c r="R95" s="653" t="str">
        <f t="shared" si="96"/>
        <v>1500</v>
      </c>
      <c r="S95" s="654" t="str">
        <f t="shared" si="96"/>
        <v>_</v>
      </c>
      <c r="T95" s="656" t="str">
        <f>+VLOOKUP($L95,Data_Validation!$A:$D,1,0)</f>
        <v>1582</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329" t="s">
        <v>881</v>
      </c>
      <c r="B96" s="1329" t="s">
        <v>1570</v>
      </c>
      <c r="C96" s="1331">
        <v>-17992.240000000002</v>
      </c>
      <c r="D96" s="1331">
        <v>-18000</v>
      </c>
      <c r="E96" s="1331">
        <v>-35992.239999999998</v>
      </c>
      <c r="F96" s="1329" t="s">
        <v>816</v>
      </c>
      <c r="G96" s="1329" t="s">
        <v>868</v>
      </c>
      <c r="H96" s="1329" t="s">
        <v>3942</v>
      </c>
      <c r="I96" s="1281"/>
      <c r="J96" s="1281"/>
      <c r="K96" s="1281"/>
      <c r="L96" s="653" t="str">
        <f t="shared" si="67"/>
        <v>1586</v>
      </c>
      <c r="M96" s="654" t="str">
        <f t="shared" si="0"/>
        <v>FPA TAXES SCOLAIRES</v>
      </c>
      <c r="N96" s="655">
        <f>+IF(OR($Q96=Parametres!$G$2,$Q96=Parametres!$G$3),I96,C96)</f>
        <v>-17992.240000000002</v>
      </c>
      <c r="O96" s="655">
        <f>+IF(OR($Q96=Parametres!$G$2,$Q96=Parametres!$G$3),J96,D96)</f>
        <v>-18000</v>
      </c>
      <c r="P96" s="662">
        <f>+IF(OR($Q96=Parametres!$G$2,$Q96=Parametres!$G$3),K96,E96)</f>
        <v>-35992.239999999998</v>
      </c>
      <c r="Q96" s="654" t="str">
        <f t="shared" ref="Q96:S96" si="97">+F96</f>
        <v>2-Actifs</v>
      </c>
      <c r="R96" s="653" t="str">
        <f t="shared" si="97"/>
        <v>1500</v>
      </c>
      <c r="S96" s="654" t="str">
        <f t="shared" si="97"/>
        <v>_</v>
      </c>
      <c r="T96" s="656" t="str">
        <f>+VLOOKUP($L96,Data_Validation!$A:$D,1,0)</f>
        <v>1586</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329" t="s">
        <v>883</v>
      </c>
      <c r="B97" s="1329" t="s">
        <v>1573</v>
      </c>
      <c r="C97" s="1331">
        <v>46490.84</v>
      </c>
      <c r="D97" s="1331">
        <v>-93462.720000000001</v>
      </c>
      <c r="E97" s="1331">
        <v>-46971.88</v>
      </c>
      <c r="F97" s="1329" t="s">
        <v>816</v>
      </c>
      <c r="G97" s="1329" t="s">
        <v>868</v>
      </c>
      <c r="H97" s="1329" t="s">
        <v>3942</v>
      </c>
      <c r="I97" s="651"/>
      <c r="J97" s="651"/>
      <c r="K97" s="651"/>
      <c r="L97" s="653" t="str">
        <f t="shared" si="67"/>
        <v>1592</v>
      </c>
      <c r="M97" s="654" t="str">
        <f t="shared" si="0"/>
        <v>FPA AUTRES</v>
      </c>
      <c r="N97" s="655">
        <f>+IF(OR($Q97=Parametres!$G$2,$Q97=Parametres!$G$3),I97,C97)</f>
        <v>46490.84</v>
      </c>
      <c r="O97" s="659">
        <f>+IF(OR($Q97=Parametres!$G$2,$Q97=Parametres!$G$3),J97,D97)</f>
        <v>-93462.720000000001</v>
      </c>
      <c r="P97" s="655">
        <f>+IF(OR($Q97=Parametres!$G$2,$Q97=Parametres!$G$3),K97,E97)</f>
        <v>-46971.88</v>
      </c>
      <c r="Q97" s="654" t="str">
        <f t="shared" ref="Q97:S97" si="98">+F97</f>
        <v>2-Actifs</v>
      </c>
      <c r="R97" s="653" t="str">
        <f t="shared" si="98"/>
        <v>1500</v>
      </c>
      <c r="S97" s="654" t="str">
        <f t="shared" si="98"/>
        <v>_</v>
      </c>
      <c r="T97" s="656" t="str">
        <f>+VLOOKUP($L97,Data_Validation!$A:$D,1,0)</f>
        <v>1592</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329" t="s">
        <v>884</v>
      </c>
      <c r="B98" s="1329" t="s">
        <v>1585</v>
      </c>
      <c r="C98" s="1331">
        <v>88524.29</v>
      </c>
      <c r="D98" s="1331">
        <v>-88524.29</v>
      </c>
      <c r="E98" s="1331">
        <v>0</v>
      </c>
      <c r="F98" s="1329" t="s">
        <v>816</v>
      </c>
      <c r="G98" s="1329" t="s">
        <v>885</v>
      </c>
      <c r="H98" s="1329" t="s">
        <v>3942</v>
      </c>
      <c r="I98" s="651"/>
      <c r="J98" s="651"/>
      <c r="K98" s="651"/>
      <c r="L98" s="653" t="str">
        <f t="shared" si="67"/>
        <v>1732</v>
      </c>
      <c r="M98" s="654" t="str">
        <f t="shared" si="0"/>
        <v>AMELIOR. LOCATIVES</v>
      </c>
      <c r="N98" s="655">
        <f>+IF(OR($Q98=Parametres!$G$2,$Q98=Parametres!$G$3),I98,C98)</f>
        <v>88524.29</v>
      </c>
      <c r="O98" s="659">
        <f>+IF(OR($Q98=Parametres!$G$2,$Q98=Parametres!$G$3),J98,D98)</f>
        <v>-88524.29</v>
      </c>
      <c r="P98" s="655">
        <f>+IF(OR($Q98=Parametres!$G$2,$Q98=Parametres!$G$3),K98,E98)</f>
        <v>0</v>
      </c>
      <c r="Q98" s="654" t="str">
        <f t="shared" ref="Q98:S98" si="99">+F98</f>
        <v>2-Actifs</v>
      </c>
      <c r="R98" s="653" t="str">
        <f t="shared" si="99"/>
        <v>1700</v>
      </c>
      <c r="S98" s="654" t="str">
        <f t="shared" si="99"/>
        <v>_</v>
      </c>
      <c r="T98" s="656" t="str">
        <f>+VLOOKUP($L98,Data_Validation!$A:$D,1,0)</f>
        <v>1732</v>
      </c>
      <c r="U98" s="656" t="str">
        <f>+VLOOKUP($L98,Data_Validation!$A:$D,3,0)</f>
        <v>Bilan</v>
      </c>
      <c r="V98" s="656" t="str">
        <f>+VLOOKUP($L98,Data_Validation!$A:$D,4,0)</f>
        <v>Améliorations Locatives</v>
      </c>
      <c r="W98" s="656" t="str">
        <f>+VLOOKUP($L98,Data_Validation!$A:$E,5,0)</f>
        <v>$</v>
      </c>
      <c r="X98" s="656">
        <f>+VLOOKUP($L98,Data_Validation!$A:$F,6,0)</f>
        <v>0</v>
      </c>
    </row>
    <row r="99" spans="1:24" ht="15.75" customHeight="1">
      <c r="A99" s="1329" t="s">
        <v>886</v>
      </c>
      <c r="B99" s="1329" t="s">
        <v>1588</v>
      </c>
      <c r="C99" s="1331">
        <v>-111768.26</v>
      </c>
      <c r="D99" s="1331">
        <v>135012.23000000001</v>
      </c>
      <c r="E99" s="1331">
        <v>23243.97</v>
      </c>
      <c r="F99" s="1329" t="s">
        <v>816</v>
      </c>
      <c r="G99" s="1329" t="s">
        <v>885</v>
      </c>
      <c r="H99" s="1329" t="s">
        <v>3942</v>
      </c>
      <c r="I99" s="651"/>
      <c r="J99" s="651"/>
      <c r="K99" s="651"/>
      <c r="L99" s="653" t="str">
        <f t="shared" si="67"/>
        <v>1733</v>
      </c>
      <c r="M99" s="654" t="str">
        <f t="shared" si="0"/>
        <v>AMORT. CUM. AMEL. LOCAT.</v>
      </c>
      <c r="N99" s="655">
        <f>+IF(OR($Q99=Parametres!$G$2,$Q99=Parametres!$G$3),I99,C99)</f>
        <v>-111768.26</v>
      </c>
      <c r="O99" s="659">
        <f>+IF(OR($Q99=Parametres!$G$2,$Q99=Parametres!$G$3),J99,D99)</f>
        <v>135012.23000000001</v>
      </c>
      <c r="P99" s="655">
        <f>+IF(OR($Q99=Parametres!$G$2,$Q99=Parametres!$G$3),K99,E99)</f>
        <v>23243.97</v>
      </c>
      <c r="Q99" s="654" t="str">
        <f t="shared" ref="Q99:S99" si="100">+F99</f>
        <v>2-Actifs</v>
      </c>
      <c r="R99" s="653" t="str">
        <f t="shared" si="100"/>
        <v>1700</v>
      </c>
      <c r="S99" s="654" t="str">
        <f t="shared" si="100"/>
        <v>_</v>
      </c>
      <c r="T99" s="656" t="str">
        <f>+VLOOKUP($L99,Data_Validation!$A:$D,1,0)</f>
        <v>1733</v>
      </c>
      <c r="U99" s="656" t="str">
        <f>+VLOOKUP($L99,Data_Validation!$A:$D,3,0)</f>
        <v>Bilan</v>
      </c>
      <c r="V99" s="656" t="str">
        <f>+VLOOKUP($L99,Data_Validation!$A:$D,4,0)</f>
        <v>Améliorations Locatives</v>
      </c>
      <c r="W99" s="656" t="str">
        <f>+VLOOKUP($L99,Data_Validation!$A:$E,5,0)</f>
        <v>$</v>
      </c>
      <c r="X99" s="656">
        <f>+VLOOKUP($L99,Data_Validation!$A:$F,6,0)</f>
        <v>0</v>
      </c>
    </row>
    <row r="100" spans="1:24" ht="15" customHeight="1">
      <c r="A100" s="1329" t="s">
        <v>3349</v>
      </c>
      <c r="B100" s="1329" t="s">
        <v>3371</v>
      </c>
      <c r="C100" s="1331">
        <v>19532.55</v>
      </c>
      <c r="D100" s="1331">
        <v>-19532.55</v>
      </c>
      <c r="E100" s="1331">
        <v>0</v>
      </c>
      <c r="F100" s="1329" t="s">
        <v>816</v>
      </c>
      <c r="G100" s="1329" t="s">
        <v>885</v>
      </c>
      <c r="H100" s="1329" t="s">
        <v>3942</v>
      </c>
      <c r="I100" s="652"/>
      <c r="J100" s="652"/>
      <c r="K100" s="652"/>
      <c r="L100" s="653" t="str">
        <f t="shared" si="67"/>
        <v>1734</v>
      </c>
      <c r="M100" s="654" t="str">
        <f t="shared" si="0"/>
        <v>AMELIOR. LOCATIVES CPO</v>
      </c>
      <c r="N100" s="655">
        <f>+IF(OR($Q100=Parametres!$G$2,$Q100=Parametres!$G$3),I100,C100)</f>
        <v>19532.55</v>
      </c>
      <c r="O100" s="659">
        <f>+IF(OR($Q100=Parametres!$G$2,$Q100=Parametres!$G$3),J100,D100)</f>
        <v>-19532.55</v>
      </c>
      <c r="P100" s="655">
        <f>+IF(OR($Q100=Parametres!$G$2,$Q100=Parametres!$G$3),K100,E100)</f>
        <v>0</v>
      </c>
      <c r="Q100" s="654" t="str">
        <f t="shared" ref="Q100:S100" si="101">+F100</f>
        <v>2-Actifs</v>
      </c>
      <c r="R100" s="653" t="str">
        <f t="shared" si="101"/>
        <v>1700</v>
      </c>
      <c r="S100" s="654" t="str">
        <f t="shared" si="101"/>
        <v>_</v>
      </c>
      <c r="T100" s="656" t="str">
        <f>+VLOOKUP($L100,Data_Validation!$A:$D,1,0)</f>
        <v>1734</v>
      </c>
      <c r="U100" s="656" t="str">
        <f>+VLOOKUP($L100,Data_Validation!$A:$D,3,0)</f>
        <v>Bilan</v>
      </c>
      <c r="V100" s="656" t="str">
        <f>+VLOOKUP($L100,Data_Validation!$A:$D,4,0)</f>
        <v>Améliorations Locatives</v>
      </c>
      <c r="W100" s="656" t="str">
        <f>+VLOOKUP($L100,Data_Validation!$A:$E,5,0)</f>
        <v>$</v>
      </c>
      <c r="X100" s="656">
        <f>+VLOOKUP($L100,Data_Validation!$A:$F,6,0)</f>
        <v>0</v>
      </c>
    </row>
    <row r="101" spans="1:24" ht="15" customHeight="1">
      <c r="A101" s="1329" t="s">
        <v>3926</v>
      </c>
      <c r="B101" s="1329" t="s">
        <v>3927</v>
      </c>
      <c r="C101" s="1331">
        <v>-4361.1400000000003</v>
      </c>
      <c r="D101" s="1331">
        <v>4361.1400000000003</v>
      </c>
      <c r="E101" s="1331">
        <v>0</v>
      </c>
      <c r="F101" s="1329" t="s">
        <v>816</v>
      </c>
      <c r="G101" s="1329" t="s">
        <v>885</v>
      </c>
      <c r="H101" s="1329" t="s">
        <v>3942</v>
      </c>
      <c r="I101" s="652"/>
      <c r="J101" s="652"/>
      <c r="K101" s="652"/>
      <c r="L101" s="653" t="str">
        <f t="shared" si="67"/>
        <v>1735</v>
      </c>
      <c r="M101" s="654" t="str">
        <f t="shared" si="0"/>
        <v>AMORT. CUM. AMEL. LOCAT. CPO</v>
      </c>
      <c r="N101" s="655">
        <f>+IF(OR($Q101=Parametres!$G$2,$Q101=Parametres!$G$3),I101,C101)</f>
        <v>-4361.1400000000003</v>
      </c>
      <c r="O101" s="655">
        <f>+IF(OR($Q101=Parametres!$G$2,$Q101=Parametres!$G$3),J101,D101)</f>
        <v>4361.1400000000003</v>
      </c>
      <c r="P101" s="655">
        <f>+IF(OR($Q101=Parametres!$G$2,$Q101=Parametres!$G$3),K101,E101)</f>
        <v>0</v>
      </c>
      <c r="Q101" s="654" t="str">
        <f t="shared" ref="Q101:S101" si="102">+F101</f>
        <v>2-Actifs</v>
      </c>
      <c r="R101" s="653" t="str">
        <f t="shared" si="102"/>
        <v>1700</v>
      </c>
      <c r="S101" s="654" t="str">
        <f t="shared" si="102"/>
        <v>_</v>
      </c>
      <c r="T101" s="656" t="str">
        <f>+VLOOKUP($L101,Data_Validation!$A:$D,1,0)</f>
        <v>1735</v>
      </c>
      <c r="U101" s="656" t="str">
        <f>+VLOOKUP($L101,Data_Validation!$A:$D,3,0)</f>
        <v>Bilan</v>
      </c>
      <c r="V101" s="656" t="str">
        <f>+VLOOKUP($L101,Data_Validation!$A:$D,4,0)</f>
        <v>Améliorations Locatives</v>
      </c>
      <c r="W101" s="656" t="str">
        <f>+VLOOKUP($L101,Data_Validation!$A:$E,5,0)</f>
        <v>$</v>
      </c>
      <c r="X101" s="656">
        <f>+VLOOKUP($L101,Data_Validation!$A:$F,6,0)</f>
        <v>0</v>
      </c>
    </row>
    <row r="102" spans="1:24" ht="15" customHeight="1">
      <c r="A102" s="1329" t="s">
        <v>887</v>
      </c>
      <c r="B102" s="1329" t="s">
        <v>1591</v>
      </c>
      <c r="C102" s="1331">
        <v>1297074.98</v>
      </c>
      <c r="D102" s="1331">
        <v>0</v>
      </c>
      <c r="E102" s="1331">
        <v>1297074.98</v>
      </c>
      <c r="F102" s="1329" t="s">
        <v>816</v>
      </c>
      <c r="G102" s="1329" t="s">
        <v>885</v>
      </c>
      <c r="H102" s="1329" t="s">
        <v>3942</v>
      </c>
      <c r="I102" s="651"/>
      <c r="J102" s="651"/>
      <c r="K102" s="651"/>
      <c r="L102" s="653" t="str">
        <f t="shared" si="67"/>
        <v>1742</v>
      </c>
      <c r="M102" s="654" t="str">
        <f t="shared" si="0"/>
        <v>MACHINERIE &amp; EQUIPEMENT</v>
      </c>
      <c r="N102" s="655">
        <f>+IF(OR($Q102=Parametres!$G$2,$Q102=Parametres!$G$3),I102,C102)</f>
        <v>1297074.98</v>
      </c>
      <c r="O102" s="655">
        <f>+IF(OR($Q102=Parametres!$G$2,$Q102=Parametres!$G$3),J102,D102)</f>
        <v>0</v>
      </c>
      <c r="P102" s="655">
        <f>+IF(OR($Q102=Parametres!$G$2,$Q102=Parametres!$G$3),K102,E102)</f>
        <v>1297074.98</v>
      </c>
      <c r="Q102" s="654" t="str">
        <f t="shared" ref="Q102:S102" si="103">+F102</f>
        <v>2-Actifs</v>
      </c>
      <c r="R102" s="653" t="str">
        <f t="shared" si="103"/>
        <v>1700</v>
      </c>
      <c r="S102" s="654" t="str">
        <f t="shared" si="103"/>
        <v>_</v>
      </c>
      <c r="T102" s="656" t="str">
        <f>+VLOOKUP($L102,Data_Validation!$A:$D,1,0)</f>
        <v>1742</v>
      </c>
      <c r="U102" s="656" t="str">
        <f>+VLOOKUP($L102,Data_Validation!$A:$D,3,0)</f>
        <v>Bilan</v>
      </c>
      <c r="V102" s="656" t="str">
        <f>+VLOOKUP($L102,Data_Validation!$A:$D,4,0)</f>
        <v>Équipements Service</v>
      </c>
      <c r="W102" s="656" t="str">
        <f>+VLOOKUP($L102,Data_Validation!$A:$E,5,0)</f>
        <v>$</v>
      </c>
      <c r="X102" s="656">
        <f>+VLOOKUP($L102,Data_Validation!$A:$F,6,0)</f>
        <v>0</v>
      </c>
    </row>
    <row r="103" spans="1:24" ht="15.75" customHeight="1">
      <c r="A103" s="1329" t="s">
        <v>888</v>
      </c>
      <c r="B103" s="1329" t="s">
        <v>1594</v>
      </c>
      <c r="C103" s="1331">
        <v>-975661.59</v>
      </c>
      <c r="D103" s="1331">
        <v>-9517</v>
      </c>
      <c r="E103" s="1331">
        <v>-985178.59</v>
      </c>
      <c r="F103" s="1329" t="s">
        <v>816</v>
      </c>
      <c r="G103" s="1329" t="s">
        <v>885</v>
      </c>
      <c r="H103" s="1329" t="s">
        <v>3942</v>
      </c>
      <c r="I103" s="651"/>
      <c r="J103" s="651"/>
      <c r="K103" s="651"/>
      <c r="L103" s="653" t="str">
        <f t="shared" si="67"/>
        <v>1743</v>
      </c>
      <c r="M103" s="654" t="str">
        <f t="shared" si="0"/>
        <v>AMORTISS.MACHINERIE &amp; EQUIP.</v>
      </c>
      <c r="N103" s="655">
        <f>+IF(OR($Q103=Parametres!$G$2,$Q103=Parametres!$G$3),I103,C103)</f>
        <v>-975661.59</v>
      </c>
      <c r="O103" s="655">
        <f>+IF(OR($Q103=Parametres!$G$2,$Q103=Parametres!$G$3),J103,D103)</f>
        <v>-9517</v>
      </c>
      <c r="P103" s="655">
        <f>+IF(OR($Q103=Parametres!$G$2,$Q103=Parametres!$G$3),K103,E103)</f>
        <v>-985178.59</v>
      </c>
      <c r="Q103" s="654" t="str">
        <f t="shared" ref="Q103:S103" si="104">+F103</f>
        <v>2-Actifs</v>
      </c>
      <c r="R103" s="653" t="str">
        <f t="shared" si="104"/>
        <v>1700</v>
      </c>
      <c r="S103" s="654" t="str">
        <f t="shared" si="104"/>
        <v>_</v>
      </c>
      <c r="T103" s="656" t="str">
        <f>+VLOOKUP($L103,Data_Validation!$A:$D,1,0)</f>
        <v>1743</v>
      </c>
      <c r="U103" s="656" t="str">
        <f>+VLOOKUP($L103,Data_Validation!$A:$D,3,0)</f>
        <v>Bilan</v>
      </c>
      <c r="V103" s="656" t="str">
        <f>+VLOOKUP($L103,Data_Validation!$A:$D,4,0)</f>
        <v>Équipements Service</v>
      </c>
      <c r="W103" s="656" t="str">
        <f>+VLOOKUP($L103,Data_Validation!$A:$E,5,0)</f>
        <v>$</v>
      </c>
      <c r="X103" s="656">
        <f>+VLOOKUP($L103,Data_Validation!$A:$F,6,0)</f>
        <v>0</v>
      </c>
    </row>
    <row r="104" spans="1:24" ht="15" customHeight="1">
      <c r="A104" s="1329" t="s">
        <v>889</v>
      </c>
      <c r="B104" s="1329" t="s">
        <v>1597</v>
      </c>
      <c r="C104" s="1331">
        <v>47461.59</v>
      </c>
      <c r="D104" s="1331">
        <v>0</v>
      </c>
      <c r="E104" s="1331">
        <v>47461.59</v>
      </c>
      <c r="F104" s="1329" t="s">
        <v>816</v>
      </c>
      <c r="G104" s="1329" t="s">
        <v>885</v>
      </c>
      <c r="H104" s="1329" t="s">
        <v>3942</v>
      </c>
      <c r="I104" s="651"/>
      <c r="J104" s="651"/>
      <c r="K104" s="651"/>
      <c r="L104" s="653" t="str">
        <f t="shared" si="67"/>
        <v>1744</v>
      </c>
      <c r="M104" s="654" t="str">
        <f t="shared" si="0"/>
        <v>EQUIPEMENT PIECES</v>
      </c>
      <c r="N104" s="655">
        <f>+IF(OR($Q104=Parametres!$G$2,$Q104=Parametres!$G$3),I104,C104)</f>
        <v>47461.59</v>
      </c>
      <c r="O104" s="655">
        <f>+IF(OR($Q104=Parametres!$G$2,$Q104=Parametres!$G$3),J104,D104)</f>
        <v>0</v>
      </c>
      <c r="P104" s="655">
        <f>+IF(OR($Q104=Parametres!$G$2,$Q104=Parametres!$G$3),K104,E104)</f>
        <v>47461.59</v>
      </c>
      <c r="Q104" s="654" t="str">
        <f t="shared" ref="Q104:S104" si="105">+F104</f>
        <v>2-Actifs</v>
      </c>
      <c r="R104" s="653" t="str">
        <f t="shared" si="105"/>
        <v>1700</v>
      </c>
      <c r="S104" s="654" t="str">
        <f t="shared" si="105"/>
        <v>_</v>
      </c>
      <c r="T104" s="656" t="str">
        <f>+VLOOKUP($L104,Data_Validation!$A:$D,1,0)</f>
        <v>1744</v>
      </c>
      <c r="U104" s="656" t="str">
        <f>+VLOOKUP($L104,Data_Validation!$A:$D,3,0)</f>
        <v>Bilan</v>
      </c>
      <c r="V104" s="656" t="str">
        <f>+VLOOKUP($L104,Data_Validation!$A:$D,4,0)</f>
        <v>Équipements Service</v>
      </c>
      <c r="W104" s="656" t="str">
        <f>+VLOOKUP($L104,Data_Validation!$A:$E,5,0)</f>
        <v>$</v>
      </c>
      <c r="X104" s="656">
        <f>+VLOOKUP($L104,Data_Validation!$A:$F,6,0)</f>
        <v>0</v>
      </c>
    </row>
    <row r="105" spans="1:24" ht="15" customHeight="1">
      <c r="A105" s="1329" t="s">
        <v>890</v>
      </c>
      <c r="B105" s="1329" t="s">
        <v>1600</v>
      </c>
      <c r="C105" s="1331">
        <v>-47461.59</v>
      </c>
      <c r="D105" s="1331">
        <v>0</v>
      </c>
      <c r="E105" s="1331">
        <v>-47461.59</v>
      </c>
      <c r="F105" s="1329" t="s">
        <v>816</v>
      </c>
      <c r="G105" s="1329" t="s">
        <v>885</v>
      </c>
      <c r="H105" s="1329" t="s">
        <v>3942</v>
      </c>
      <c r="I105" s="651"/>
      <c r="J105" s="651"/>
      <c r="K105" s="651"/>
      <c r="L105" s="653" t="str">
        <f t="shared" si="67"/>
        <v>1745</v>
      </c>
      <c r="M105" s="654" t="str">
        <f t="shared" si="0"/>
        <v>AMORTISS.EQUIPEMENTS PIECES</v>
      </c>
      <c r="N105" s="655">
        <f>+IF(OR($Q105=Parametres!$G$2,$Q105=Parametres!$G$3),I105,C105)</f>
        <v>-47461.59</v>
      </c>
      <c r="O105" s="655">
        <f>+IF(OR($Q105=Parametres!$G$2,$Q105=Parametres!$G$3),J105,D105)</f>
        <v>0</v>
      </c>
      <c r="P105" s="655">
        <f>+IF(OR($Q105=Parametres!$G$2,$Q105=Parametres!$G$3),K105,E105)</f>
        <v>-47461.59</v>
      </c>
      <c r="Q105" s="654" t="str">
        <f t="shared" ref="Q105:S105" si="106">+F105</f>
        <v>2-Actifs</v>
      </c>
      <c r="R105" s="653" t="str">
        <f t="shared" si="106"/>
        <v>1700</v>
      </c>
      <c r="S105" s="654" t="str">
        <f t="shared" si="106"/>
        <v>_</v>
      </c>
      <c r="T105" s="656" t="str">
        <f>+VLOOKUP($L105,Data_Validation!$A:$D,1,0)</f>
        <v>1745</v>
      </c>
      <c r="U105" s="656" t="str">
        <f>+VLOOKUP($L105,Data_Validation!$A:$D,3,0)</f>
        <v>Bilan</v>
      </c>
      <c r="V105" s="656" t="str">
        <f>+VLOOKUP($L105,Data_Validation!$A:$D,4,0)</f>
        <v>Équipements Service</v>
      </c>
      <c r="W105" s="656" t="str">
        <f>+VLOOKUP($L105,Data_Validation!$A:$E,5,0)</f>
        <v>$</v>
      </c>
      <c r="X105" s="656">
        <f>+VLOOKUP($L105,Data_Validation!$A:$F,6,0)</f>
        <v>0</v>
      </c>
    </row>
    <row r="106" spans="1:24" ht="15" customHeight="1">
      <c r="A106" s="1329" t="s">
        <v>891</v>
      </c>
      <c r="B106" s="1329" t="s">
        <v>1609</v>
      </c>
      <c r="C106" s="1331">
        <v>455679.54</v>
      </c>
      <c r="D106" s="1331">
        <v>1194.95</v>
      </c>
      <c r="E106" s="1331">
        <v>456874.49</v>
      </c>
      <c r="F106" s="1329" t="s">
        <v>816</v>
      </c>
      <c r="G106" s="1329" t="s">
        <v>885</v>
      </c>
      <c r="H106" s="1329" t="s">
        <v>3942</v>
      </c>
      <c r="I106" s="651"/>
      <c r="J106" s="651"/>
      <c r="K106" s="651"/>
      <c r="L106" s="653" t="str">
        <f t="shared" si="67"/>
        <v>1762</v>
      </c>
      <c r="M106" s="654" t="str">
        <f t="shared" si="0"/>
        <v>AMEUBLEMENT &amp; INSTR.</v>
      </c>
      <c r="N106" s="655">
        <f>+IF(OR($Q106=Parametres!$G$2,$Q106=Parametres!$G$3),I106,C106)</f>
        <v>455679.54</v>
      </c>
      <c r="O106" s="655">
        <f>+IF(OR($Q106=Parametres!$G$2,$Q106=Parametres!$G$3),J106,D106)</f>
        <v>1194.95</v>
      </c>
      <c r="P106" s="655">
        <f>+IF(OR($Q106=Parametres!$G$2,$Q106=Parametres!$G$3),K106,E106)</f>
        <v>456874.49</v>
      </c>
      <c r="Q106" s="654" t="str">
        <f t="shared" ref="Q106:S106" si="107">+F106</f>
        <v>2-Actifs</v>
      </c>
      <c r="R106" s="653" t="str">
        <f t="shared" si="107"/>
        <v>1700</v>
      </c>
      <c r="S106" s="654" t="str">
        <f t="shared" si="107"/>
        <v>_</v>
      </c>
      <c r="T106" s="656" t="str">
        <f>+VLOOKUP($L106,Data_Validation!$A:$D,1,0)</f>
        <v>1762</v>
      </c>
      <c r="U106" s="656" t="str">
        <f>+VLOOKUP($L106,Data_Validation!$A:$D,3,0)</f>
        <v>Bilan</v>
      </c>
      <c r="V106" s="656" t="str">
        <f>+VLOOKUP($L106,Data_Validation!$A:$D,4,0)</f>
        <v>Mobilier</v>
      </c>
      <c r="W106" s="656" t="str">
        <f>+VLOOKUP($L106,Data_Validation!$A:$E,5,0)</f>
        <v>$</v>
      </c>
      <c r="X106" s="656">
        <f>+VLOOKUP($L106,Data_Validation!$A:$F,6,0)</f>
        <v>0</v>
      </c>
    </row>
    <row r="107" spans="1:24" ht="15" customHeight="1">
      <c r="A107" s="1329" t="s">
        <v>892</v>
      </c>
      <c r="B107" s="1329" t="s">
        <v>1612</v>
      </c>
      <c r="C107" s="1331">
        <v>-428060.27</v>
      </c>
      <c r="D107" s="1331">
        <v>0</v>
      </c>
      <c r="E107" s="1331">
        <v>-428060.27</v>
      </c>
      <c r="F107" s="1329" t="s">
        <v>816</v>
      </c>
      <c r="G107" s="1329" t="s">
        <v>885</v>
      </c>
      <c r="H107" s="1329" t="s">
        <v>3942</v>
      </c>
      <c r="I107" s="651"/>
      <c r="J107" s="651"/>
      <c r="K107" s="651"/>
      <c r="L107" s="653" t="str">
        <f t="shared" si="67"/>
        <v>1763</v>
      </c>
      <c r="M107" s="654" t="str">
        <f t="shared" si="0"/>
        <v>AMORTISS.AMEUBL.INSTR.</v>
      </c>
      <c r="N107" s="655">
        <f>+IF(OR($Q107=Parametres!$G$2,$Q107=Parametres!$G$3),I107,C107)</f>
        <v>-428060.27</v>
      </c>
      <c r="O107" s="655">
        <f>+IF(OR($Q107=Parametres!$G$2,$Q107=Parametres!$G$3),J107,D107)</f>
        <v>0</v>
      </c>
      <c r="P107" s="655">
        <f>+IF(OR($Q107=Parametres!$G$2,$Q107=Parametres!$G$3),K107,E107)</f>
        <v>-428060.27</v>
      </c>
      <c r="Q107" s="654" t="str">
        <f t="shared" ref="Q107:S107" si="108">+F107</f>
        <v>2-Actifs</v>
      </c>
      <c r="R107" s="653" t="str">
        <f t="shared" si="108"/>
        <v>1700</v>
      </c>
      <c r="S107" s="654" t="str">
        <f t="shared" si="108"/>
        <v>_</v>
      </c>
      <c r="T107" s="656" t="str">
        <f>+VLOOKUP($L107,Data_Validation!$A:$D,1,0)</f>
        <v>1763</v>
      </c>
      <c r="U107" s="656" t="str">
        <f>+VLOOKUP($L107,Data_Validation!$A:$D,3,0)</f>
        <v>Bilan</v>
      </c>
      <c r="V107" s="656" t="str">
        <f>+VLOOKUP($L107,Data_Validation!$A:$D,4,0)</f>
        <v>Mobilier</v>
      </c>
      <c r="W107" s="656" t="str">
        <f>+VLOOKUP($L107,Data_Validation!$A:$E,5,0)</f>
        <v>$</v>
      </c>
      <c r="X107" s="656">
        <f>+VLOOKUP($L107,Data_Validation!$A:$F,6,0)</f>
        <v>0</v>
      </c>
    </row>
    <row r="108" spans="1:24" ht="15" customHeight="1">
      <c r="A108" s="1329" t="s">
        <v>893</v>
      </c>
      <c r="B108" s="1329" t="s">
        <v>1615</v>
      </c>
      <c r="C108" s="1331">
        <v>3987.88</v>
      </c>
      <c r="D108" s="1331">
        <v>0</v>
      </c>
      <c r="E108" s="1331">
        <v>3987.88</v>
      </c>
      <c r="F108" s="1329" t="s">
        <v>816</v>
      </c>
      <c r="G108" s="1329" t="s">
        <v>885</v>
      </c>
      <c r="H108" s="1329" t="s">
        <v>3942</v>
      </c>
      <c r="I108" s="651"/>
      <c r="J108" s="651"/>
      <c r="K108" s="651"/>
      <c r="L108" s="653" t="str">
        <f t="shared" si="67"/>
        <v>1772</v>
      </c>
      <c r="M108" s="654" t="str">
        <f t="shared" si="0"/>
        <v>VEHICULES DE CIE</v>
      </c>
      <c r="N108" s="655">
        <f>+IF(OR($Q108=Parametres!$G$2,$Q108=Parametres!$G$3),I108,C108)</f>
        <v>3987.88</v>
      </c>
      <c r="O108" s="655">
        <f>+IF(OR($Q108=Parametres!$G$2,$Q108=Parametres!$G$3),J108,D108)</f>
        <v>0</v>
      </c>
      <c r="P108" s="655">
        <f>+IF(OR($Q108=Parametres!$G$2,$Q108=Parametres!$G$3),K108,E108)</f>
        <v>3987.88</v>
      </c>
      <c r="Q108" s="654" t="str">
        <f t="shared" ref="Q108:S108" si="109">+F108</f>
        <v>2-Actifs</v>
      </c>
      <c r="R108" s="653" t="str">
        <f t="shared" si="109"/>
        <v>1700</v>
      </c>
      <c r="S108" s="654" t="str">
        <f t="shared" si="109"/>
        <v>_</v>
      </c>
      <c r="T108" s="656" t="str">
        <f>+VLOOKUP($L108,Data_Validation!$A:$D,1,0)</f>
        <v>1772</v>
      </c>
      <c r="U108" s="656" t="str">
        <f>+VLOOKUP($L108,Data_Validation!$A:$D,3,0)</f>
        <v>Bilan</v>
      </c>
      <c r="V108" s="656" t="str">
        <f>+VLOOKUP($L108,Data_Validation!$A:$D,4,0)</f>
        <v>Équipements Service</v>
      </c>
      <c r="W108" s="656" t="str">
        <f>+VLOOKUP($L108,Data_Validation!$A:$E,5,0)</f>
        <v>$</v>
      </c>
      <c r="X108" s="656">
        <f>+VLOOKUP($L108,Data_Validation!$A:$F,6,0)</f>
        <v>0</v>
      </c>
    </row>
    <row r="109" spans="1:24" ht="15.75" customHeight="1">
      <c r="A109" s="1329" t="s">
        <v>894</v>
      </c>
      <c r="B109" s="1329" t="s">
        <v>1618</v>
      </c>
      <c r="C109" s="1331">
        <v>-3987.88</v>
      </c>
      <c r="D109" s="1331">
        <v>0</v>
      </c>
      <c r="E109" s="1331">
        <v>-3987.88</v>
      </c>
      <c r="F109" s="1329" t="s">
        <v>816</v>
      </c>
      <c r="G109" s="1329" t="s">
        <v>885</v>
      </c>
      <c r="H109" s="1329" t="s">
        <v>3942</v>
      </c>
      <c r="I109" s="651"/>
      <c r="J109" s="651"/>
      <c r="K109" s="651"/>
      <c r="L109" s="653" t="str">
        <f t="shared" si="67"/>
        <v>1773</v>
      </c>
      <c r="M109" s="654" t="str">
        <f t="shared" si="0"/>
        <v>DEPRECIATION &amp; AMORT.</v>
      </c>
      <c r="N109" s="655">
        <f>+IF(OR($Q109=Parametres!$G$2,$Q109=Parametres!$G$3),I109,C109)</f>
        <v>-3987.88</v>
      </c>
      <c r="O109" s="655">
        <f>+IF(OR($Q109=Parametres!$G$2,$Q109=Parametres!$G$3),J109,D109)</f>
        <v>0</v>
      </c>
      <c r="P109" s="655">
        <f>+IF(OR($Q109=Parametres!$G$2,$Q109=Parametres!$G$3),K109,E109)</f>
        <v>-3987.88</v>
      </c>
      <c r="Q109" s="654" t="str">
        <f t="shared" ref="Q109:S109" si="110">+F109</f>
        <v>2-Actifs</v>
      </c>
      <c r="R109" s="653" t="str">
        <f t="shared" si="110"/>
        <v>1700</v>
      </c>
      <c r="S109" s="654" t="str">
        <f t="shared" si="110"/>
        <v>_</v>
      </c>
      <c r="T109" s="656" t="str">
        <f>+VLOOKUP($L109,Data_Validation!$A:$D,1,0)</f>
        <v>1773</v>
      </c>
      <c r="U109" s="656" t="str">
        <f>+VLOOKUP($L109,Data_Validation!$A:$D,3,0)</f>
        <v>Bilan</v>
      </c>
      <c r="V109" s="656" t="str">
        <f>+VLOOKUP($L109,Data_Validation!$A:$D,4,0)</f>
        <v>Équipements Service</v>
      </c>
      <c r="W109" s="656" t="str">
        <f>+VLOOKUP($L109,Data_Validation!$A:$E,5,0)</f>
        <v>$</v>
      </c>
      <c r="X109" s="656">
        <f>+VLOOKUP($L109,Data_Validation!$A:$F,6,0)</f>
        <v>0</v>
      </c>
    </row>
    <row r="110" spans="1:24" ht="15" customHeight="1">
      <c r="A110" s="1329" t="s">
        <v>895</v>
      </c>
      <c r="B110" s="1329" t="s">
        <v>1621</v>
      </c>
      <c r="C110" s="1331">
        <v>189957.05</v>
      </c>
      <c r="D110" s="1331">
        <v>0</v>
      </c>
      <c r="E110" s="1331">
        <v>189957.05</v>
      </c>
      <c r="F110" s="1329" t="s">
        <v>816</v>
      </c>
      <c r="G110" s="1329" t="s">
        <v>885</v>
      </c>
      <c r="H110" s="1329" t="s">
        <v>3942</v>
      </c>
      <c r="I110" s="651"/>
      <c r="J110" s="651"/>
      <c r="K110" s="651"/>
      <c r="L110" s="653" t="str">
        <f t="shared" si="67"/>
        <v>1786</v>
      </c>
      <c r="M110" s="654" t="str">
        <f t="shared" si="0"/>
        <v>EQUIPEMENT INFORMATIQUE</v>
      </c>
      <c r="N110" s="655">
        <f>+IF(OR($Q110=Parametres!$G$2,$Q110=Parametres!$G$3),I110,C110)</f>
        <v>189957.05</v>
      </c>
      <c r="O110" s="659">
        <f>+IF(OR($Q110=Parametres!$G$2,$Q110=Parametres!$G$3),J110,D110)</f>
        <v>0</v>
      </c>
      <c r="P110" s="655">
        <f>+IF(OR($Q110=Parametres!$G$2,$Q110=Parametres!$G$3),K110,E110)</f>
        <v>189957.05</v>
      </c>
      <c r="Q110" s="654" t="str">
        <f t="shared" ref="Q110:S110" si="111">+F110</f>
        <v>2-Actifs</v>
      </c>
      <c r="R110" s="653" t="str">
        <f t="shared" si="111"/>
        <v>1700</v>
      </c>
      <c r="S110" s="654" t="str">
        <f t="shared" si="111"/>
        <v>_</v>
      </c>
      <c r="T110" s="656" t="str">
        <f>+VLOOKUP($L110,Data_Validation!$A:$D,1,0)</f>
        <v>1786</v>
      </c>
      <c r="U110" s="656" t="str">
        <f>+VLOOKUP($L110,Data_Validation!$A:$D,3,0)</f>
        <v>Bilan</v>
      </c>
      <c r="V110" s="656" t="str">
        <f>+VLOOKUP($L110,Data_Validation!$A:$D,4,0)</f>
        <v>Équipements Informatique</v>
      </c>
      <c r="W110" s="656" t="str">
        <f>+VLOOKUP($L110,Data_Validation!$A:$E,5,0)</f>
        <v>$</v>
      </c>
      <c r="X110" s="656">
        <f>+VLOOKUP($L110,Data_Validation!$A:$F,6,0)</f>
        <v>0</v>
      </c>
    </row>
    <row r="111" spans="1:24" ht="15" customHeight="1">
      <c r="A111" s="1329" t="s">
        <v>896</v>
      </c>
      <c r="B111" s="1329" t="s">
        <v>1624</v>
      </c>
      <c r="C111" s="1331">
        <v>-143374.82</v>
      </c>
      <c r="D111" s="1331">
        <v>-23243.97</v>
      </c>
      <c r="E111" s="1331">
        <v>-166618.79</v>
      </c>
      <c r="F111" s="1329" t="s">
        <v>816</v>
      </c>
      <c r="G111" s="1329" t="s">
        <v>885</v>
      </c>
      <c r="H111" s="1329" t="s">
        <v>3942</v>
      </c>
      <c r="I111" s="651"/>
      <c r="J111" s="651"/>
      <c r="K111" s="651"/>
      <c r="L111" s="653" t="str">
        <f t="shared" si="67"/>
        <v>1787</v>
      </c>
      <c r="M111" s="654" t="str">
        <f t="shared" si="0"/>
        <v>AMORTISS.EQUIP.INFORMATIQUES</v>
      </c>
      <c r="N111" s="655">
        <f>+IF(OR($Q111=Parametres!$G$2,$Q111=Parametres!$G$3),I111,C111)</f>
        <v>-143374.82</v>
      </c>
      <c r="O111" s="655">
        <f>+IF(OR($Q111=Parametres!$G$2,$Q111=Parametres!$G$3),J111,D111)</f>
        <v>-23243.97</v>
      </c>
      <c r="P111" s="655">
        <f>+IF(OR($Q111=Parametres!$G$2,$Q111=Parametres!$G$3),K111,E111)</f>
        <v>-166618.79</v>
      </c>
      <c r="Q111" s="654" t="str">
        <f t="shared" ref="Q111:S111" si="112">+F111</f>
        <v>2-Actifs</v>
      </c>
      <c r="R111" s="653" t="str">
        <f t="shared" si="112"/>
        <v>1700</v>
      </c>
      <c r="S111" s="654" t="str">
        <f t="shared" si="112"/>
        <v>_</v>
      </c>
      <c r="T111" s="656" t="str">
        <f>+VLOOKUP($L111,Data_Validation!$A:$D,1,0)</f>
        <v>1787</v>
      </c>
      <c r="U111" s="656" t="str">
        <f>+VLOOKUP($L111,Data_Validation!$A:$D,3,0)</f>
        <v>Bilan</v>
      </c>
      <c r="V111" s="656" t="str">
        <f>+VLOOKUP($L111,Data_Validation!$A:$D,4,0)</f>
        <v>Équipements Informatique</v>
      </c>
      <c r="W111" s="656" t="str">
        <f>+VLOOKUP($L111,Data_Validation!$A:$E,5,0)</f>
        <v>$</v>
      </c>
      <c r="X111" s="656">
        <f>+VLOOKUP($L111,Data_Validation!$A:$F,6,0)</f>
        <v>0</v>
      </c>
    </row>
    <row r="112" spans="1:24" ht="15" customHeight="1">
      <c r="A112" s="1329" t="s">
        <v>897</v>
      </c>
      <c r="B112" s="1329" t="s">
        <v>1627</v>
      </c>
      <c r="C112" s="1331">
        <v>126772.66</v>
      </c>
      <c r="D112" s="1331">
        <v>0</v>
      </c>
      <c r="E112" s="1331">
        <v>126772.66</v>
      </c>
      <c r="F112" s="1329" t="s">
        <v>816</v>
      </c>
      <c r="G112" s="1329" t="s">
        <v>885</v>
      </c>
      <c r="H112" s="1329" t="s">
        <v>3942</v>
      </c>
      <c r="I112" s="651"/>
      <c r="J112" s="651"/>
      <c r="K112" s="651"/>
      <c r="L112" s="653" t="str">
        <f t="shared" si="67"/>
        <v>1792</v>
      </c>
      <c r="M112" s="654" t="str">
        <f t="shared" si="0"/>
        <v>ENSEIGNES</v>
      </c>
      <c r="N112" s="655">
        <f>+IF(OR($Q112=Parametres!$G$2,$Q112=Parametres!$G$3),I112,C112)</f>
        <v>126772.66</v>
      </c>
      <c r="O112" s="655">
        <f>+IF(OR($Q112=Parametres!$G$2,$Q112=Parametres!$G$3),J112,D112)</f>
        <v>0</v>
      </c>
      <c r="P112" s="655">
        <f>+IF(OR($Q112=Parametres!$G$2,$Q112=Parametres!$G$3),K112,E112)</f>
        <v>126772.66</v>
      </c>
      <c r="Q112" s="654" t="str">
        <f t="shared" ref="Q112:S112" si="113">+F112</f>
        <v>2-Actifs</v>
      </c>
      <c r="R112" s="653" t="str">
        <f t="shared" si="113"/>
        <v>1700</v>
      </c>
      <c r="S112" s="654" t="str">
        <f t="shared" si="113"/>
        <v>_</v>
      </c>
      <c r="T112" s="656" t="str">
        <f>+VLOOKUP($L112,Data_Validation!$A:$D,1,0)</f>
        <v>1792</v>
      </c>
      <c r="U112" s="656" t="str">
        <f>+VLOOKUP($L112,Data_Validation!$A:$D,3,0)</f>
        <v>Bilan</v>
      </c>
      <c r="V112" s="656" t="str">
        <f>+VLOOKUP($L112,Data_Validation!$A:$D,4,0)</f>
        <v>Enseigne</v>
      </c>
      <c r="W112" s="656" t="str">
        <f>+VLOOKUP($L112,Data_Validation!$A:$E,5,0)</f>
        <v>$</v>
      </c>
      <c r="X112" s="656">
        <f>+VLOOKUP($L112,Data_Validation!$A:$F,6,0)</f>
        <v>0</v>
      </c>
    </row>
    <row r="113" spans="1:24" ht="15.75" customHeight="1">
      <c r="A113" s="1329" t="s">
        <v>898</v>
      </c>
      <c r="B113" s="1329" t="s">
        <v>1630</v>
      </c>
      <c r="C113" s="1331">
        <v>-119700.42</v>
      </c>
      <c r="D113" s="1331">
        <v>0</v>
      </c>
      <c r="E113" s="1331">
        <v>-119700.42</v>
      </c>
      <c r="F113" s="1329" t="s">
        <v>816</v>
      </c>
      <c r="G113" s="1329" t="s">
        <v>885</v>
      </c>
      <c r="H113" s="1329" t="s">
        <v>3942</v>
      </c>
      <c r="I113" s="651"/>
      <c r="J113" s="651"/>
      <c r="K113" s="651"/>
      <c r="L113" s="653" t="str">
        <f t="shared" si="67"/>
        <v>1793</v>
      </c>
      <c r="M113" s="654" t="str">
        <f t="shared" si="0"/>
        <v>AMORT. CUM. ENSEIGNES</v>
      </c>
      <c r="N113" s="655">
        <f>+IF(OR($Q113=Parametres!$G$2,$Q113=Parametres!$G$3),I113,C113)</f>
        <v>-119700.42</v>
      </c>
      <c r="O113" s="655">
        <f>+IF(OR($Q113=Parametres!$G$2,$Q113=Parametres!$G$3),J113,D113)</f>
        <v>0</v>
      </c>
      <c r="P113" s="655">
        <f>+IF(OR($Q113=Parametres!$G$2,$Q113=Parametres!$G$3),K113,E113)</f>
        <v>-119700.42</v>
      </c>
      <c r="Q113" s="654" t="str">
        <f t="shared" ref="Q113:S113" si="114">+F113</f>
        <v>2-Actifs</v>
      </c>
      <c r="R113" s="653" t="str">
        <f t="shared" si="114"/>
        <v>1700</v>
      </c>
      <c r="S113" s="654" t="str">
        <f t="shared" si="114"/>
        <v>_</v>
      </c>
      <c r="T113" s="656" t="str">
        <f>+VLOOKUP($L113,Data_Validation!$A:$D,1,0)</f>
        <v>1793</v>
      </c>
      <c r="U113" s="656" t="str">
        <f>+VLOOKUP($L113,Data_Validation!$A:$D,3,0)</f>
        <v>Bilan</v>
      </c>
      <c r="V113" s="656" t="str">
        <f>+VLOOKUP($L113,Data_Validation!$A:$D,4,0)</f>
        <v>Enseigne</v>
      </c>
      <c r="W113" s="656" t="str">
        <f>+VLOOKUP($L113,Data_Validation!$A:$E,5,0)</f>
        <v>$</v>
      </c>
      <c r="X113" s="656">
        <f>+VLOOKUP($L113,Data_Validation!$A:$F,6,0)</f>
        <v>0</v>
      </c>
    </row>
    <row r="114" spans="1:24" ht="15" customHeight="1">
      <c r="A114" s="1329" t="s">
        <v>3334</v>
      </c>
      <c r="B114" s="1329" t="s">
        <v>899</v>
      </c>
      <c r="C114" s="1331">
        <v>2023600</v>
      </c>
      <c r="D114" s="1331">
        <v>-2023600</v>
      </c>
      <c r="E114" s="1331">
        <v>0</v>
      </c>
      <c r="F114" s="1329" t="s">
        <v>816</v>
      </c>
      <c r="G114" s="1329" t="s">
        <v>899</v>
      </c>
      <c r="H114" s="1329" t="s">
        <v>3942</v>
      </c>
      <c r="I114" s="651"/>
      <c r="J114" s="651"/>
      <c r="K114" s="651"/>
      <c r="L114" s="653" t="str">
        <f t="shared" si="67"/>
        <v>1804</v>
      </c>
      <c r="M114" s="654" t="str">
        <f t="shared" si="0"/>
        <v>AVANCES COMPLEXE INTERCO</v>
      </c>
      <c r="N114" s="655">
        <f>+IF(OR($Q114=Parametres!$G$2,$Q114=Parametres!$G$3),I114,C114)</f>
        <v>2023600</v>
      </c>
      <c r="O114" s="655">
        <f>+IF(OR($Q114=Parametres!$G$2,$Q114=Parametres!$G$3),J114,D114)</f>
        <v>-2023600</v>
      </c>
      <c r="P114" s="655">
        <f>+IF(OR($Q114=Parametres!$G$2,$Q114=Parametres!$G$3),K114,E114)</f>
        <v>0</v>
      </c>
      <c r="Q114" s="654" t="str">
        <f t="shared" ref="Q114:S114" si="115">+F114</f>
        <v>2-Actifs</v>
      </c>
      <c r="R114" s="653" t="str">
        <f t="shared" si="115"/>
        <v>1804</v>
      </c>
      <c r="S114" s="654" t="str">
        <f t="shared" si="115"/>
        <v>_</v>
      </c>
      <c r="T114" s="656" t="str">
        <f>+VLOOKUP($L114,Data_Validation!$A:$D,1,0)</f>
        <v>1804</v>
      </c>
      <c r="U114" s="656" t="str">
        <f>+VLOOKUP($L114,Data_Validation!$A:$D,3,0)</f>
        <v>Bilan</v>
      </c>
      <c r="V114" s="656" t="str">
        <f>+VLOOKUP($L114,Data_Validation!$A:$D,4,0)</f>
        <v>Avances à Recevoir Long Terme</v>
      </c>
      <c r="W114" s="656" t="str">
        <f>+VLOOKUP($L114,Data_Validation!$A:$E,5,0)</f>
        <v>$</v>
      </c>
      <c r="X114" s="656">
        <f>+VLOOKUP($L114,Data_Validation!$A:$F,6,0)</f>
        <v>0</v>
      </c>
    </row>
    <row r="115" spans="1:24" ht="15" customHeight="1">
      <c r="A115" s="1329" t="s">
        <v>900</v>
      </c>
      <c r="B115" s="1329" t="s">
        <v>1635</v>
      </c>
      <c r="C115" s="1331">
        <v>512.75</v>
      </c>
      <c r="D115" s="1331">
        <v>-512.75</v>
      </c>
      <c r="E115" s="1331">
        <v>0</v>
      </c>
      <c r="F115" s="1329" t="s">
        <v>816</v>
      </c>
      <c r="G115" s="1329" t="s">
        <v>821</v>
      </c>
      <c r="H115" s="1329" t="s">
        <v>3942</v>
      </c>
      <c r="I115" s="652"/>
      <c r="J115" s="652"/>
      <c r="K115" s="652"/>
      <c r="L115" s="653" t="str">
        <f t="shared" si="67"/>
        <v>1806</v>
      </c>
      <c r="M115" s="654" t="str">
        <f t="shared" si="0"/>
        <v>FINANCEMENT RECEVABLE</v>
      </c>
      <c r="N115" s="655">
        <f>+IF(OR($Q115=Parametres!$G$2,$Q115=Parametres!$G$3),I115,C115)</f>
        <v>512.75</v>
      </c>
      <c r="O115" s="655">
        <f>+IF(OR($Q115=Parametres!$G$2,$Q115=Parametres!$G$3),J115,D115)</f>
        <v>-512.75</v>
      </c>
      <c r="P115" s="655">
        <f>+IF(OR($Q115=Parametres!$G$2,$Q115=Parametres!$G$3),K115,E115)</f>
        <v>0</v>
      </c>
      <c r="Q115" s="654" t="str">
        <f t="shared" ref="Q115:S115" si="116">+F115</f>
        <v>2-Actifs</v>
      </c>
      <c r="R115" s="653" t="str">
        <f t="shared" si="116"/>
        <v>1382</v>
      </c>
      <c r="S115" s="654" t="str">
        <f t="shared" si="116"/>
        <v>_</v>
      </c>
      <c r="T115" s="656" t="str">
        <f>+VLOOKUP($L115,Data_Validation!$A:$D,1,0)</f>
        <v>1806</v>
      </c>
      <c r="U115" s="656" t="str">
        <f>+VLOOKUP($L115,Data_Validation!$A:$D,3,0)</f>
        <v>Bilan</v>
      </c>
      <c r="V115" s="656" t="str">
        <f>+VLOOKUP($L115,Data_Validation!$A:$D,4,0)</f>
        <v>Recevables Autres</v>
      </c>
      <c r="W115" s="656" t="str">
        <f>+VLOOKUP($L115,Data_Validation!$A:$E,5,0)</f>
        <v>$</v>
      </c>
      <c r="X115" s="656">
        <f>+VLOOKUP($L115,Data_Validation!$A:$F,6,0)</f>
        <v>0</v>
      </c>
    </row>
    <row r="116" spans="1:24" ht="15" customHeight="1">
      <c r="A116" s="1329" t="s">
        <v>3959</v>
      </c>
      <c r="B116" s="1329" t="s">
        <v>3960</v>
      </c>
      <c r="C116" s="1331">
        <v>0</v>
      </c>
      <c r="D116" s="1331">
        <v>5900000</v>
      </c>
      <c r="E116" s="1331">
        <v>5900000</v>
      </c>
      <c r="F116" s="1329" t="s">
        <v>816</v>
      </c>
      <c r="G116" s="1329" t="s">
        <v>3960</v>
      </c>
      <c r="H116" s="1329" t="s">
        <v>3942</v>
      </c>
      <c r="I116" s="652"/>
      <c r="J116" s="652"/>
      <c r="K116" s="652"/>
      <c r="L116" s="653" t="str">
        <f t="shared" si="67"/>
        <v>1814</v>
      </c>
      <c r="M116" s="654" t="str">
        <f t="shared" si="0"/>
        <v>ACHALANDAGE</v>
      </c>
      <c r="N116" s="655">
        <f>+IF(OR($Q116=Parametres!$G$2,$Q116=Parametres!$G$3),I116,C116)</f>
        <v>0</v>
      </c>
      <c r="O116" s="655">
        <f>+IF(OR($Q116=Parametres!$G$2,$Q116=Parametres!$G$3),J116,D116)</f>
        <v>5900000</v>
      </c>
      <c r="P116" s="655">
        <f>+IF(OR($Q116=Parametres!$G$2,$Q116=Parametres!$G$3),K116,E116)</f>
        <v>5900000</v>
      </c>
      <c r="Q116" s="654" t="str">
        <f t="shared" ref="Q116:S116" si="117">+F116</f>
        <v>2-Actifs</v>
      </c>
      <c r="R116" s="653" t="str">
        <f t="shared" si="117"/>
        <v>1814</v>
      </c>
      <c r="S116" s="654" t="str">
        <f t="shared" si="117"/>
        <v>_</v>
      </c>
      <c r="T116" s="656" t="e">
        <f>+VLOOKUP($L116,Data_Validation!$A:$D,1,0)</f>
        <v>#N/A</v>
      </c>
      <c r="U116" s="656" t="e">
        <f>+VLOOKUP($L116,Data_Validation!$A:$D,3,0)</f>
        <v>#N/A</v>
      </c>
      <c r="V116" s="656" t="e">
        <f>+VLOOKUP($L116,Data_Validation!$A:$D,4,0)</f>
        <v>#N/A</v>
      </c>
      <c r="W116" s="656" t="e">
        <f>+VLOOKUP($L116,Data_Validation!$A:$E,5,0)</f>
        <v>#N/A</v>
      </c>
      <c r="X116" s="656" t="e">
        <f>+VLOOKUP($L116,Data_Validation!$A:$F,6,0)</f>
        <v>#N/A</v>
      </c>
    </row>
    <row r="117" spans="1:24" ht="15.75" customHeight="1">
      <c r="A117" s="1329" t="s">
        <v>901</v>
      </c>
      <c r="B117" s="1329" t="s">
        <v>903</v>
      </c>
      <c r="C117" s="1331">
        <v>-7639945.9500000002</v>
      </c>
      <c r="D117" s="1331">
        <v>-1410404.1</v>
      </c>
      <c r="E117" s="1331">
        <v>-9050350.0500000007</v>
      </c>
      <c r="F117" s="1329" t="s">
        <v>902</v>
      </c>
      <c r="G117" s="1329" t="s">
        <v>903</v>
      </c>
      <c r="H117" s="1329" t="s">
        <v>3942</v>
      </c>
      <c r="I117" s="652"/>
      <c r="J117" s="652"/>
      <c r="K117" s="652"/>
      <c r="L117" s="653" t="str">
        <f t="shared" si="67"/>
        <v>2101</v>
      </c>
      <c r="M117" s="654" t="str">
        <f t="shared" si="0"/>
        <v>NOTE A PAYER VEH. NEUFS VOLKS</v>
      </c>
      <c r="N117" s="655">
        <f>+IF(OR($Q117=Parametres!$G$2,$Q117=Parametres!$G$3),I117,C117)</f>
        <v>-7639945.9500000002</v>
      </c>
      <c r="O117" s="655">
        <f>+IF(OR($Q117=Parametres!$G$2,$Q117=Parametres!$G$3),J117,D117)</f>
        <v>-1410404.1</v>
      </c>
      <c r="P117" s="655">
        <f>+IF(OR($Q117=Parametres!$G$2,$Q117=Parametres!$G$3),K117,E117)</f>
        <v>-9050350.0500000007</v>
      </c>
      <c r="Q117" s="654" t="str">
        <f t="shared" ref="Q117:S117" si="118">+F117</f>
        <v>3-Passifs</v>
      </c>
      <c r="R117" s="653" t="str">
        <f t="shared" si="118"/>
        <v>2101</v>
      </c>
      <c r="S117" s="654" t="str">
        <f t="shared" si="118"/>
        <v>_</v>
      </c>
      <c r="T117" s="656" t="str">
        <f>+VLOOKUP($L117,Data_Validation!$A:$D,1,0)</f>
        <v>2101</v>
      </c>
      <c r="U117" s="656" t="str">
        <f>+VLOOKUP($L117,Data_Validation!$A:$D,3,0)</f>
        <v>Bilan</v>
      </c>
      <c r="V117" s="656" t="str">
        <f>+VLOOKUP($L117,Data_Validation!$A:$D,4,0)</f>
        <v>Effet à Payer Véhicules Neufs</v>
      </c>
      <c r="W117" s="656" t="str">
        <f>+VLOOKUP($L117,Data_Validation!$A:$E,5,0)</f>
        <v>$</v>
      </c>
      <c r="X117" s="656">
        <f>+VLOOKUP($L117,Data_Validation!$A:$F,6,0)</f>
        <v>0</v>
      </c>
    </row>
    <row r="118" spans="1:24" ht="15" customHeight="1">
      <c r="A118" s="1329" t="s">
        <v>904</v>
      </c>
      <c r="B118" s="1329" t="s">
        <v>905</v>
      </c>
      <c r="C118" s="1331">
        <v>-122224.32000000001</v>
      </c>
      <c r="D118" s="1331">
        <v>-229997.06</v>
      </c>
      <c r="E118" s="1331">
        <v>-352221.38</v>
      </c>
      <c r="F118" s="1329" t="s">
        <v>902</v>
      </c>
      <c r="G118" s="1329" t="s">
        <v>905</v>
      </c>
      <c r="H118" s="1329" t="s">
        <v>3942</v>
      </c>
      <c r="I118" s="663"/>
      <c r="J118" s="663"/>
      <c r="K118" s="663"/>
      <c r="L118" s="653" t="str">
        <f t="shared" si="67"/>
        <v>2103</v>
      </c>
      <c r="M118" s="654" t="str">
        <f t="shared" si="0"/>
        <v>NOTE PAYABLE-FIN. VEH. USAG.</v>
      </c>
      <c r="N118" s="655">
        <f>+IF(OR($Q118=Parametres!$G$2,$Q118=Parametres!$G$3),I118,C118)</f>
        <v>-122224.32000000001</v>
      </c>
      <c r="O118" s="655">
        <f>+IF(OR($Q118=Parametres!$G$2,$Q118=Parametres!$G$3),J118,D118)</f>
        <v>-229997.06</v>
      </c>
      <c r="P118" s="655">
        <f>+IF(OR($Q118=Parametres!$G$2,$Q118=Parametres!$G$3),K118,E118)</f>
        <v>-352221.38</v>
      </c>
      <c r="Q118" s="654" t="str">
        <f t="shared" ref="Q118:S118" si="119">+F118</f>
        <v>3-Passifs</v>
      </c>
      <c r="R118" s="653" t="str">
        <f t="shared" si="119"/>
        <v>2103</v>
      </c>
      <c r="S118" s="654" t="str">
        <f t="shared" si="119"/>
        <v>_</v>
      </c>
      <c r="T118" s="656" t="str">
        <f>+VLOOKUP($L118,Data_Validation!$A:$D,1,0)</f>
        <v>2103</v>
      </c>
      <c r="U118" s="656" t="str">
        <f>+VLOOKUP($L118,Data_Validation!$A:$D,3,0)</f>
        <v>Bilan</v>
      </c>
      <c r="V118" s="656" t="str">
        <f>+VLOOKUP($L118,Data_Validation!$A:$D,4,0)</f>
        <v>Effet à Payer Véhicules Usagés</v>
      </c>
      <c r="W118" s="656" t="str">
        <f>+VLOOKUP($L118,Data_Validation!$A:$E,5,0)</f>
        <v>$</v>
      </c>
      <c r="X118" s="656">
        <f>+VLOOKUP($L118,Data_Validation!$A:$F,6,0)</f>
        <v>0</v>
      </c>
    </row>
    <row r="119" spans="1:24" ht="15" customHeight="1">
      <c r="A119" s="1329" t="s">
        <v>910</v>
      </c>
      <c r="B119" s="1329" t="s">
        <v>911</v>
      </c>
      <c r="C119" s="1331">
        <v>-91456.82</v>
      </c>
      <c r="D119" s="1331">
        <v>-114618.35</v>
      </c>
      <c r="E119" s="1331">
        <v>-206075.17</v>
      </c>
      <c r="F119" s="1329" t="s">
        <v>902</v>
      </c>
      <c r="G119" s="1329" t="s">
        <v>911</v>
      </c>
      <c r="H119" s="1329" t="s">
        <v>3942</v>
      </c>
      <c r="I119" s="652"/>
      <c r="J119" s="652"/>
      <c r="K119" s="652"/>
      <c r="L119" s="653" t="str">
        <f t="shared" si="67"/>
        <v>2221</v>
      </c>
      <c r="M119" s="654" t="str">
        <f t="shared" si="0"/>
        <v>TVQ A PAYER</v>
      </c>
      <c r="N119" s="655">
        <f>+IF(OR($Q119=Parametres!$G$2,$Q119=Parametres!$G$3),I119,C119)</f>
        <v>-91456.82</v>
      </c>
      <c r="O119" s="655">
        <f>+IF(OR($Q119=Parametres!$G$2,$Q119=Parametres!$G$3),J119,D119)</f>
        <v>-114618.35</v>
      </c>
      <c r="P119" s="655">
        <f>+IF(OR($Q119=Parametres!$G$2,$Q119=Parametres!$G$3),K119,E119)</f>
        <v>-206075.17</v>
      </c>
      <c r="Q119" s="654" t="str">
        <f t="shared" ref="Q119:S119" si="120">+F119</f>
        <v>3-Passifs</v>
      </c>
      <c r="R119" s="653" t="str">
        <f t="shared" si="120"/>
        <v>2221</v>
      </c>
      <c r="S119" s="654" t="str">
        <f t="shared" si="120"/>
        <v>_</v>
      </c>
      <c r="T119" s="656" t="str">
        <f>+VLOOKUP($L119,Data_Validation!$A:$D,1,0)</f>
        <v>2221</v>
      </c>
      <c r="U119" s="656" t="str">
        <f>+VLOOKUP($L119,Data_Validation!$A:$D,3,0)</f>
        <v>Bilan</v>
      </c>
      <c r="V119" s="656" t="str">
        <f>+VLOOKUP($L119,Data_Validation!$A:$D,4,0)</f>
        <v>Taxes de Vente à Payer</v>
      </c>
      <c r="W119" s="656" t="str">
        <f>+VLOOKUP($L119,Data_Validation!$A:$E,5,0)</f>
        <v>$</v>
      </c>
      <c r="X119" s="656">
        <f>+VLOOKUP($L119,Data_Validation!$A:$F,6,0)</f>
        <v>0</v>
      </c>
    </row>
    <row r="120" spans="1:24" ht="15" customHeight="1">
      <c r="A120" s="1329" t="s">
        <v>912</v>
      </c>
      <c r="B120" s="1329" t="s">
        <v>1652</v>
      </c>
      <c r="C120" s="1331">
        <v>84431.34</v>
      </c>
      <c r="D120" s="1331">
        <v>62838.22</v>
      </c>
      <c r="E120" s="1331">
        <v>147269.56</v>
      </c>
      <c r="F120" s="1329" t="s">
        <v>902</v>
      </c>
      <c r="G120" s="1329" t="s">
        <v>911</v>
      </c>
      <c r="H120" s="1329" t="s">
        <v>3942</v>
      </c>
      <c r="I120" s="652"/>
      <c r="J120" s="652"/>
      <c r="K120" s="652"/>
      <c r="L120" s="653" t="str">
        <f t="shared" si="67"/>
        <v>2222</v>
      </c>
      <c r="M120" s="654" t="str">
        <f t="shared" si="0"/>
        <v>TVQ A RECEVOIR</v>
      </c>
      <c r="N120" s="655">
        <f>+IF(OR($Q120=Parametres!$G$2,$Q120=Parametres!$G$3),I120,C120)</f>
        <v>84431.34</v>
      </c>
      <c r="O120" s="655">
        <f>+IF(OR($Q120=Parametres!$G$2,$Q120=Parametres!$G$3),J120,D120)</f>
        <v>62838.22</v>
      </c>
      <c r="P120" s="655">
        <f>+IF(OR($Q120=Parametres!$G$2,$Q120=Parametres!$G$3),K120,E120)</f>
        <v>147269.56</v>
      </c>
      <c r="Q120" s="654" t="str">
        <f t="shared" ref="Q120:S120" si="121">+F120</f>
        <v>3-Passifs</v>
      </c>
      <c r="R120" s="653" t="str">
        <f t="shared" si="121"/>
        <v>2221</v>
      </c>
      <c r="S120" s="654" t="str">
        <f t="shared" si="121"/>
        <v>_</v>
      </c>
      <c r="T120" s="656" t="str">
        <f>+VLOOKUP($L120,Data_Validation!$A:$D,1,0)</f>
        <v>2222</v>
      </c>
      <c r="U120" s="656" t="str">
        <f>+VLOOKUP($L120,Data_Validation!$A:$D,3,0)</f>
        <v>Bilan</v>
      </c>
      <c r="V120" s="656" t="str">
        <f>+VLOOKUP($L120,Data_Validation!$A:$D,4,0)</f>
        <v>Taxes de Vente à Payer</v>
      </c>
      <c r="W120" s="656" t="str">
        <f>+VLOOKUP($L120,Data_Validation!$A:$E,5,0)</f>
        <v>$</v>
      </c>
      <c r="X120" s="656">
        <f>+VLOOKUP($L120,Data_Validation!$A:$F,6,0)</f>
        <v>0</v>
      </c>
    </row>
    <row r="121" spans="1:24" ht="15" customHeight="1">
      <c r="A121" s="1329" t="s">
        <v>913</v>
      </c>
      <c r="B121" s="1329" t="s">
        <v>914</v>
      </c>
      <c r="C121" s="1331">
        <v>-235437.23</v>
      </c>
      <c r="D121" s="1331">
        <v>-248910.16</v>
      </c>
      <c r="E121" s="1331">
        <v>-484347.39</v>
      </c>
      <c r="F121" s="1329" t="s">
        <v>902</v>
      </c>
      <c r="G121" s="1329" t="s">
        <v>914</v>
      </c>
      <c r="H121" s="1329" t="s">
        <v>3942</v>
      </c>
      <c r="I121" s="651"/>
      <c r="J121" s="651"/>
      <c r="K121" s="651"/>
      <c r="L121" s="653" t="str">
        <f t="shared" si="67"/>
        <v>2223</v>
      </c>
      <c r="M121" s="654" t="str">
        <f t="shared" si="0"/>
        <v>TPS A PAYER</v>
      </c>
      <c r="N121" s="655">
        <f>+IF(OR($Q121=Parametres!$G$2,$Q121=Parametres!$G$3),I121,C121)</f>
        <v>-235437.23</v>
      </c>
      <c r="O121" s="659">
        <f>+IF(OR($Q121=Parametres!$G$2,$Q121=Parametres!$G$3),J121,D121)</f>
        <v>-248910.16</v>
      </c>
      <c r="P121" s="655">
        <f>+IF(OR($Q121=Parametres!$G$2,$Q121=Parametres!$G$3),K121,E121)</f>
        <v>-484347.39</v>
      </c>
      <c r="Q121" s="654" t="str">
        <f t="shared" ref="Q121:S121" si="122">+F121</f>
        <v>3-Passifs</v>
      </c>
      <c r="R121" s="653" t="str">
        <f t="shared" si="122"/>
        <v>2223</v>
      </c>
      <c r="S121" s="654" t="str">
        <f t="shared" si="122"/>
        <v>_</v>
      </c>
      <c r="T121" s="656" t="str">
        <f>+VLOOKUP($L121,Data_Validation!$A:$D,1,0)</f>
        <v>2223</v>
      </c>
      <c r="U121" s="656" t="str">
        <f>+VLOOKUP($L121,Data_Validation!$A:$D,3,0)</f>
        <v>Bilan</v>
      </c>
      <c r="V121" s="656" t="str">
        <f>+VLOOKUP($L121,Data_Validation!$A:$D,4,0)</f>
        <v>Taxes de Vente à Payer</v>
      </c>
      <c r="W121" s="656" t="str">
        <f>+VLOOKUP($L121,Data_Validation!$A:$E,5,0)</f>
        <v>$</v>
      </c>
      <c r="X121" s="656">
        <f>+VLOOKUP($L121,Data_Validation!$A:$F,6,0)</f>
        <v>0</v>
      </c>
    </row>
    <row r="122" spans="1:24" ht="15" customHeight="1">
      <c r="A122" s="1329" t="s">
        <v>915</v>
      </c>
      <c r="B122" s="1329" t="s">
        <v>1657</v>
      </c>
      <c r="C122" s="1331">
        <v>201527.18</v>
      </c>
      <c r="D122" s="1331">
        <v>260514.31</v>
      </c>
      <c r="E122" s="1331">
        <v>462041.49</v>
      </c>
      <c r="F122" s="1329" t="s">
        <v>902</v>
      </c>
      <c r="G122" s="1329" t="s">
        <v>914</v>
      </c>
      <c r="H122" s="1329" t="s">
        <v>3942</v>
      </c>
      <c r="I122" s="652"/>
      <c r="J122" s="652"/>
      <c r="K122" s="652"/>
      <c r="L122" s="653" t="str">
        <f t="shared" si="67"/>
        <v>2224</v>
      </c>
      <c r="M122" s="654" t="str">
        <f t="shared" si="0"/>
        <v>TPS A RECEVOIR</v>
      </c>
      <c r="N122" s="655">
        <f>+IF(OR($Q122=Parametres!$G$2,$Q122=Parametres!$G$3),I122,C122)</f>
        <v>201527.18</v>
      </c>
      <c r="O122" s="655">
        <f>+IF(OR($Q122=Parametres!$G$2,$Q122=Parametres!$G$3),J122,D122)</f>
        <v>260514.31</v>
      </c>
      <c r="P122" s="655">
        <f>+IF(OR($Q122=Parametres!$G$2,$Q122=Parametres!$G$3),K122,E122)</f>
        <v>462041.49</v>
      </c>
      <c r="Q122" s="654" t="str">
        <f t="shared" ref="Q122:S122" si="123">+F122</f>
        <v>3-Passifs</v>
      </c>
      <c r="R122" s="653" t="str">
        <f t="shared" si="123"/>
        <v>2223</v>
      </c>
      <c r="S122" s="654" t="str">
        <f t="shared" si="123"/>
        <v>_</v>
      </c>
      <c r="T122" s="656" t="str">
        <f>+VLOOKUP($L122,Data_Validation!$A:$D,1,0)</f>
        <v>2224</v>
      </c>
      <c r="U122" s="656" t="str">
        <f>+VLOOKUP($L122,Data_Validation!$A:$D,3,0)</f>
        <v>Bilan</v>
      </c>
      <c r="V122" s="656" t="str">
        <f>+VLOOKUP($L122,Data_Validation!$A:$D,4,0)</f>
        <v>Taxes de Vente à Payer</v>
      </c>
      <c r="W122" s="656" t="str">
        <f>+VLOOKUP($L122,Data_Validation!$A:$E,5,0)</f>
        <v>$</v>
      </c>
      <c r="X122" s="656">
        <f>+VLOOKUP($L122,Data_Validation!$A:$F,6,0)</f>
        <v>0</v>
      </c>
    </row>
    <row r="123" spans="1:24" ht="15.75" customHeight="1">
      <c r="A123" s="1329" t="s">
        <v>916</v>
      </c>
      <c r="B123" s="1329" t="s">
        <v>1660</v>
      </c>
      <c r="C123" s="1331">
        <v>-1861</v>
      </c>
      <c r="D123" s="1331">
        <v>-1917</v>
      </c>
      <c r="E123" s="1331">
        <v>-3778</v>
      </c>
      <c r="F123" s="1329" t="s">
        <v>902</v>
      </c>
      <c r="G123" s="1329" t="s">
        <v>911</v>
      </c>
      <c r="H123" s="1329" t="s">
        <v>3942</v>
      </c>
      <c r="I123" s="651"/>
      <c r="J123" s="651"/>
      <c r="K123" s="651"/>
      <c r="L123" s="653" t="str">
        <f t="shared" si="67"/>
        <v>2225</v>
      </c>
      <c r="M123" s="654" t="str">
        <f t="shared" si="0"/>
        <v>DROIT SUR PNEUS</v>
      </c>
      <c r="N123" s="655">
        <f>+IF(OR($Q123=Parametres!$G$2,$Q123=Parametres!$G$3),I123,C123)</f>
        <v>-1861</v>
      </c>
      <c r="O123" s="659">
        <f>+IF(OR($Q123=Parametres!$G$2,$Q123=Parametres!$G$3),J123,D123)</f>
        <v>-1917</v>
      </c>
      <c r="P123" s="655">
        <f>+IF(OR($Q123=Parametres!$G$2,$Q123=Parametres!$G$3),K123,E123)</f>
        <v>-3778</v>
      </c>
      <c r="Q123" s="654" t="str">
        <f t="shared" ref="Q123:S123" si="124">+F123</f>
        <v>3-Passifs</v>
      </c>
      <c r="R123" s="653" t="str">
        <f t="shared" si="124"/>
        <v>2221</v>
      </c>
      <c r="S123" s="654" t="str">
        <f t="shared" si="124"/>
        <v>_</v>
      </c>
      <c r="T123" s="656" t="str">
        <f>+VLOOKUP($L123,Data_Validation!$A:$D,1,0)</f>
        <v>2225</v>
      </c>
      <c r="U123" s="656" t="str">
        <f>+VLOOKUP($L123,Data_Validation!$A:$D,3,0)</f>
        <v>Bilan</v>
      </c>
      <c r="V123" s="656" t="str">
        <f>+VLOOKUP($L123,Data_Validation!$A:$D,4,0)</f>
        <v>Taxes de Vente à Payer</v>
      </c>
      <c r="W123" s="656" t="str">
        <f>+VLOOKUP($L123,Data_Validation!$A:$E,5,0)</f>
        <v>$</v>
      </c>
      <c r="X123" s="656">
        <f>+VLOOKUP($L123,Data_Validation!$A:$F,6,0)</f>
        <v>0</v>
      </c>
    </row>
    <row r="124" spans="1:24" ht="15" customHeight="1">
      <c r="A124" s="1329" t="s">
        <v>917</v>
      </c>
      <c r="B124" s="1329" t="s">
        <v>1663</v>
      </c>
      <c r="C124" s="1331">
        <v>-107477</v>
      </c>
      <c r="D124" s="1331">
        <v>-108303.13</v>
      </c>
      <c r="E124" s="1331">
        <v>-215780.13</v>
      </c>
      <c r="F124" s="1329" t="s">
        <v>902</v>
      </c>
      <c r="G124" s="1329" t="s">
        <v>918</v>
      </c>
      <c r="H124" s="1329" t="s">
        <v>3942</v>
      </c>
      <c r="I124" s="652"/>
      <c r="J124" s="652"/>
      <c r="K124" s="652"/>
      <c r="L124" s="653" t="str">
        <f t="shared" si="67"/>
        <v>2281</v>
      </c>
      <c r="M124" s="654" t="str">
        <f t="shared" si="0"/>
        <v>LIEN A PAYER</v>
      </c>
      <c r="N124" s="655">
        <f>+IF(OR($Q124=Parametres!$G$2,$Q124=Parametres!$G$3),I124,C124)</f>
        <v>-107477</v>
      </c>
      <c r="O124" s="655">
        <f>+IF(OR($Q124=Parametres!$G$2,$Q124=Parametres!$G$3),J124,D124)</f>
        <v>-108303.13</v>
      </c>
      <c r="P124" s="655">
        <f>+IF(OR($Q124=Parametres!$G$2,$Q124=Parametres!$G$3),K124,E124)</f>
        <v>-215780.13</v>
      </c>
      <c r="Q124" s="654" t="str">
        <f t="shared" ref="Q124:S124" si="125">+F124</f>
        <v>3-Passifs</v>
      </c>
      <c r="R124" s="653" t="str">
        <f t="shared" si="125"/>
        <v>2283</v>
      </c>
      <c r="S124" s="654" t="str">
        <f t="shared" si="125"/>
        <v>_</v>
      </c>
      <c r="T124" s="656" t="str">
        <f>+VLOOKUP($L124,Data_Validation!$A:$D,1,0)</f>
        <v>2281</v>
      </c>
      <c r="U124" s="656" t="str">
        <f>+VLOOKUP($L124,Data_Validation!$A:$D,3,0)</f>
        <v>Bilan</v>
      </c>
      <c r="V124" s="656" t="str">
        <f>+VLOOKUP($L124,Data_Validation!$A:$D,4,0)</f>
        <v>Autres Comptes à Payer</v>
      </c>
      <c r="W124" s="656" t="str">
        <f>+VLOOKUP($L124,Data_Validation!$A:$E,5,0)</f>
        <v>$</v>
      </c>
      <c r="X124" s="656">
        <f>+VLOOKUP($L124,Data_Validation!$A:$F,6,0)</f>
        <v>0</v>
      </c>
    </row>
    <row r="125" spans="1:24" ht="15" customHeight="1">
      <c r="A125" s="1329" t="s">
        <v>919</v>
      </c>
      <c r="B125" s="1329" t="s">
        <v>918</v>
      </c>
      <c r="C125" s="1331">
        <v>-760</v>
      </c>
      <c r="D125" s="1331">
        <v>-580</v>
      </c>
      <c r="E125" s="1331">
        <v>-1340</v>
      </c>
      <c r="F125" s="1329" t="s">
        <v>902</v>
      </c>
      <c r="G125" s="1329" t="s">
        <v>918</v>
      </c>
      <c r="H125" s="1329" t="s">
        <v>3942</v>
      </c>
      <c r="I125" s="651"/>
      <c r="J125" s="651"/>
      <c r="K125" s="651"/>
      <c r="L125" s="653" t="str">
        <f t="shared" si="67"/>
        <v>2283</v>
      </c>
      <c r="M125" s="654" t="str">
        <f t="shared" si="0"/>
        <v>PLAQUE A PAYER</v>
      </c>
      <c r="N125" s="655">
        <f>+IF(OR($Q125=Parametres!$G$2,$Q125=Parametres!$G$3),I125,C125)</f>
        <v>-760</v>
      </c>
      <c r="O125" s="655">
        <f>+IF(OR($Q125=Parametres!$G$2,$Q125=Parametres!$G$3),J125,D125)</f>
        <v>-580</v>
      </c>
      <c r="P125" s="655">
        <f>+IF(OR($Q125=Parametres!$G$2,$Q125=Parametres!$G$3),K125,E125)</f>
        <v>-1340</v>
      </c>
      <c r="Q125" s="654" t="str">
        <f t="shared" ref="Q125:S125" si="126">+F125</f>
        <v>3-Passifs</v>
      </c>
      <c r="R125" s="653" t="str">
        <f t="shared" si="126"/>
        <v>2283</v>
      </c>
      <c r="S125" s="654" t="str">
        <f t="shared" si="126"/>
        <v>_</v>
      </c>
      <c r="T125" s="656" t="str">
        <f>+VLOOKUP($L125,Data_Validation!$A:$D,1,0)</f>
        <v>2283</v>
      </c>
      <c r="U125" s="656" t="str">
        <f>+VLOOKUP($L125,Data_Validation!$A:$D,3,0)</f>
        <v>Bilan</v>
      </c>
      <c r="V125" s="656" t="str">
        <f>+VLOOKUP($L125,Data_Validation!$A:$D,4,0)</f>
        <v>Autres Comptes à Payer</v>
      </c>
      <c r="W125" s="656" t="str">
        <f>+VLOOKUP($L125,Data_Validation!$A:$E,5,0)</f>
        <v>$</v>
      </c>
      <c r="X125" s="656">
        <f>+VLOOKUP($L125,Data_Validation!$A:$F,6,0)</f>
        <v>0</v>
      </c>
    </row>
    <row r="126" spans="1:24" ht="15" customHeight="1">
      <c r="A126" s="1329" t="s">
        <v>920</v>
      </c>
      <c r="B126" s="1329" t="s">
        <v>1668</v>
      </c>
      <c r="C126" s="1331">
        <v>-47185.3</v>
      </c>
      <c r="D126" s="1331">
        <v>5747.08</v>
      </c>
      <c r="E126" s="1331">
        <v>-41438.22</v>
      </c>
      <c r="F126" s="1329" t="s">
        <v>902</v>
      </c>
      <c r="G126" s="1329" t="s">
        <v>918</v>
      </c>
      <c r="H126" s="1329" t="s">
        <v>3942</v>
      </c>
      <c r="I126" s="652"/>
      <c r="J126" s="652"/>
      <c r="K126" s="652"/>
      <c r="L126" s="653" t="str">
        <f t="shared" si="67"/>
        <v>2285</v>
      </c>
      <c r="M126" s="654" t="str">
        <f t="shared" si="0"/>
        <v>PROTECTIONS A PAYER</v>
      </c>
      <c r="N126" s="655">
        <f>+IF(OR($Q126=Parametres!$G$2,$Q126=Parametres!$G$3),I126,C126)</f>
        <v>-47185.3</v>
      </c>
      <c r="O126" s="655">
        <f>+IF(OR($Q126=Parametres!$G$2,$Q126=Parametres!$G$3),J126,D126)</f>
        <v>5747.08</v>
      </c>
      <c r="P126" s="655">
        <f>+IF(OR($Q126=Parametres!$G$2,$Q126=Parametres!$G$3),K126,E126)</f>
        <v>-41438.22</v>
      </c>
      <c r="Q126" s="654" t="str">
        <f t="shared" ref="Q126:S126" si="127">+F126</f>
        <v>3-Passifs</v>
      </c>
      <c r="R126" s="653" t="str">
        <f t="shared" si="127"/>
        <v>2283</v>
      </c>
      <c r="S126" s="654" t="str">
        <f t="shared" si="127"/>
        <v>_</v>
      </c>
      <c r="T126" s="656" t="str">
        <f>+VLOOKUP($L126,Data_Validation!$A:$D,1,0)</f>
        <v>2285</v>
      </c>
      <c r="U126" s="656" t="str">
        <f>+VLOOKUP($L126,Data_Validation!$A:$D,3,0)</f>
        <v>Bilan</v>
      </c>
      <c r="V126" s="656" t="str">
        <f>+VLOOKUP($L126,Data_Validation!$A:$D,4,0)</f>
        <v>Autres Comptes à Payer</v>
      </c>
      <c r="W126" s="656" t="str">
        <f>+VLOOKUP($L126,Data_Validation!$A:$E,5,0)</f>
        <v>$</v>
      </c>
      <c r="X126" s="656">
        <f>+VLOOKUP($L126,Data_Validation!$A:$F,6,0)</f>
        <v>0</v>
      </c>
    </row>
    <row r="127" spans="1:24" ht="15" customHeight="1">
      <c r="A127" s="1329" t="s">
        <v>921</v>
      </c>
      <c r="B127" s="1329" t="s">
        <v>1671</v>
      </c>
      <c r="C127" s="1331">
        <v>-4887.09</v>
      </c>
      <c r="D127" s="1331">
        <v>2474.81</v>
      </c>
      <c r="E127" s="1331">
        <v>-2412.2800000000002</v>
      </c>
      <c r="F127" s="1329" t="s">
        <v>902</v>
      </c>
      <c r="G127" s="1329" t="s">
        <v>918</v>
      </c>
      <c r="H127" s="1329" t="s">
        <v>3942</v>
      </c>
      <c r="I127" s="663"/>
      <c r="J127" s="663"/>
      <c r="K127" s="663"/>
      <c r="L127" s="653" t="str">
        <f t="shared" si="67"/>
        <v>2287</v>
      </c>
      <c r="M127" s="654" t="str">
        <f t="shared" si="0"/>
        <v>A PAYER INVAPLAN</v>
      </c>
      <c r="N127" s="655">
        <f>+IF(OR($Q127=Parametres!$G$2,$Q127=Parametres!$G$3),I127,C127)</f>
        <v>-4887.09</v>
      </c>
      <c r="O127" s="655">
        <f>+IF(OR($Q127=Parametres!$G$2,$Q127=Parametres!$G$3),J127,D127)</f>
        <v>2474.81</v>
      </c>
      <c r="P127" s="655">
        <f>+IF(OR($Q127=Parametres!$G$2,$Q127=Parametres!$G$3),K127,E127)</f>
        <v>-2412.2800000000002</v>
      </c>
      <c r="Q127" s="654" t="str">
        <f t="shared" ref="Q127:S127" si="128">+F127</f>
        <v>3-Passifs</v>
      </c>
      <c r="R127" s="653" t="str">
        <f t="shared" si="128"/>
        <v>2283</v>
      </c>
      <c r="S127" s="654" t="str">
        <f t="shared" si="128"/>
        <v>_</v>
      </c>
      <c r="T127" s="656" t="str">
        <f>+VLOOKUP($L127,Data_Validation!$A:$D,1,0)</f>
        <v>2287</v>
      </c>
      <c r="U127" s="656" t="str">
        <f>+VLOOKUP($L127,Data_Validation!$A:$D,3,0)</f>
        <v>Bilan</v>
      </c>
      <c r="V127" s="656" t="str">
        <f>+VLOOKUP($L127,Data_Validation!$A:$D,4,0)</f>
        <v>Autres Comptes à Payer</v>
      </c>
      <c r="W127" s="656" t="str">
        <f>+VLOOKUP($L127,Data_Validation!$A:$E,5,0)</f>
        <v>$</v>
      </c>
      <c r="X127" s="656">
        <f>+VLOOKUP($L127,Data_Validation!$A:$F,6,0)</f>
        <v>0</v>
      </c>
    </row>
    <row r="128" spans="1:24" ht="15" customHeight="1">
      <c r="A128" s="1329" t="s">
        <v>922</v>
      </c>
      <c r="B128" s="1329" t="s">
        <v>923</v>
      </c>
      <c r="C128" s="1331">
        <v>-576159.51</v>
      </c>
      <c r="D128" s="1331">
        <v>388739.48</v>
      </c>
      <c r="E128" s="1331">
        <v>-187420.03</v>
      </c>
      <c r="F128" s="1329" t="s">
        <v>902</v>
      </c>
      <c r="G128" s="1329" t="s">
        <v>923</v>
      </c>
      <c r="H128" s="1329" t="s">
        <v>3942</v>
      </c>
      <c r="I128" s="652"/>
      <c r="J128" s="652"/>
      <c r="K128" s="652"/>
      <c r="L128" s="653" t="str">
        <f t="shared" si="67"/>
        <v>2291</v>
      </c>
      <c r="M128" s="654" t="str">
        <f t="shared" si="0"/>
        <v>COMPTES FOURNISSEURS</v>
      </c>
      <c r="N128" s="655">
        <f>+IF(OR($Q128=Parametres!$G$2,$Q128=Parametres!$G$3),I128,C128)</f>
        <v>-576159.51</v>
      </c>
      <c r="O128" s="655">
        <f>+IF(OR($Q128=Parametres!$G$2,$Q128=Parametres!$G$3),J128,D128)</f>
        <v>388739.48</v>
      </c>
      <c r="P128" s="655">
        <f>+IF(OR($Q128=Parametres!$G$2,$Q128=Parametres!$G$3),K128,E128)</f>
        <v>-187420.03</v>
      </c>
      <c r="Q128" s="654" t="str">
        <f t="shared" ref="Q128:S128" si="129">+F128</f>
        <v>3-Passifs</v>
      </c>
      <c r="R128" s="653" t="str">
        <f t="shared" si="129"/>
        <v>2291</v>
      </c>
      <c r="S128" s="654" t="str">
        <f t="shared" si="129"/>
        <v>_</v>
      </c>
      <c r="T128" s="656" t="str">
        <f>+VLOOKUP($L128,Data_Validation!$A:$D,1,0)</f>
        <v>2291</v>
      </c>
      <c r="U128" s="656" t="str">
        <f>+VLOOKUP($L128,Data_Validation!$A:$D,3,0)</f>
        <v>Bilan</v>
      </c>
      <c r="V128" s="656" t="str">
        <f>+VLOOKUP($L128,Data_Validation!$A:$D,4,0)</f>
        <v>Comptes à Payer Fournisseurs</v>
      </c>
      <c r="W128" s="656" t="str">
        <f>+VLOOKUP($L128,Data_Validation!$A:$E,5,0)</f>
        <v>$</v>
      </c>
      <c r="X128" s="656">
        <f>+VLOOKUP($L128,Data_Validation!$A:$F,6,0)</f>
        <v>0</v>
      </c>
    </row>
    <row r="129" spans="1:24" ht="15" customHeight="1">
      <c r="A129" s="1329" t="s">
        <v>924</v>
      </c>
      <c r="B129" s="1329" t="s">
        <v>1679</v>
      </c>
      <c r="C129" s="1331">
        <v>0</v>
      </c>
      <c r="D129" s="1331">
        <v>-39033.75</v>
      </c>
      <c r="E129" s="1331">
        <v>-39033.75</v>
      </c>
      <c r="F129" s="1329" t="s">
        <v>902</v>
      </c>
      <c r="G129" s="1329" t="s">
        <v>923</v>
      </c>
      <c r="H129" s="1329" t="s">
        <v>3942</v>
      </c>
      <c r="I129" s="663"/>
      <c r="J129" s="663"/>
      <c r="K129" s="663"/>
      <c r="L129" s="653" t="str">
        <f t="shared" si="67"/>
        <v>2292</v>
      </c>
      <c r="M129" s="654" t="str">
        <f t="shared" si="0"/>
        <v>ECHANGE ENTRE CONCESSIONNAIRES</v>
      </c>
      <c r="N129" s="655">
        <f>+IF(OR($Q129=Parametres!$G$2,$Q129=Parametres!$G$3),I129,C129)</f>
        <v>0</v>
      </c>
      <c r="O129" s="655">
        <f>+IF(OR($Q129=Parametres!$G$2,$Q129=Parametres!$G$3),J129,D129)</f>
        <v>-39033.75</v>
      </c>
      <c r="P129" s="655">
        <f>+IF(OR($Q129=Parametres!$G$2,$Q129=Parametres!$G$3),K129,E129)</f>
        <v>-39033.75</v>
      </c>
      <c r="Q129" s="654" t="str">
        <f t="shared" ref="Q129:S129" si="130">+F129</f>
        <v>3-Passifs</v>
      </c>
      <c r="R129" s="653" t="str">
        <f t="shared" si="130"/>
        <v>2291</v>
      </c>
      <c r="S129" s="654" t="str">
        <f t="shared" si="130"/>
        <v>_</v>
      </c>
      <c r="T129" s="656" t="str">
        <f>+VLOOKUP($L129,Data_Validation!$A:$D,1,0)</f>
        <v>2292</v>
      </c>
      <c r="U129" s="656" t="str">
        <f>+VLOOKUP($L129,Data_Validation!$A:$D,3,0)</f>
        <v>Bilan</v>
      </c>
      <c r="V129" s="656" t="str">
        <f>+VLOOKUP($L129,Data_Validation!$A:$D,4,0)</f>
        <v>Autres Comptes à Payer</v>
      </c>
      <c r="W129" s="656" t="str">
        <f>+VLOOKUP($L129,Data_Validation!$A:$E,5,0)</f>
        <v>$</v>
      </c>
      <c r="X129" s="656">
        <f>+VLOOKUP($L129,Data_Validation!$A:$F,6,0)</f>
        <v>0</v>
      </c>
    </row>
    <row r="130" spans="1:24" ht="15" customHeight="1">
      <c r="A130" s="1329" t="s">
        <v>925</v>
      </c>
      <c r="B130" s="1329" t="s">
        <v>928</v>
      </c>
      <c r="C130" s="1331">
        <v>0</v>
      </c>
      <c r="D130" s="1331">
        <v>-1616</v>
      </c>
      <c r="E130" s="1331">
        <v>-1616</v>
      </c>
      <c r="F130" s="1329" t="s">
        <v>902</v>
      </c>
      <c r="G130" s="1329" t="s">
        <v>918</v>
      </c>
      <c r="H130" s="1329" t="s">
        <v>3942</v>
      </c>
      <c r="I130" s="651"/>
      <c r="J130" s="651"/>
      <c r="K130" s="651"/>
      <c r="L130" s="653" t="str">
        <f t="shared" si="67"/>
        <v>2293</v>
      </c>
      <c r="M130" s="654" t="str">
        <f t="shared" si="0"/>
        <v>PROVISIONS GARANTIES USAGEES</v>
      </c>
      <c r="N130" s="655">
        <f>+IF(OR($Q130=Parametres!$G$2,$Q130=Parametres!$G$3),I130,C130)</f>
        <v>0</v>
      </c>
      <c r="O130" s="655">
        <f>+IF(OR($Q130=Parametres!$G$2,$Q130=Parametres!$G$3),J130,D130)</f>
        <v>-1616</v>
      </c>
      <c r="P130" s="655">
        <f>+IF(OR($Q130=Parametres!$G$2,$Q130=Parametres!$G$3),K130,E130)</f>
        <v>-1616</v>
      </c>
      <c r="Q130" s="654" t="str">
        <f t="shared" ref="Q130:S130" si="131">+F130</f>
        <v>3-Passifs</v>
      </c>
      <c r="R130" s="653" t="str">
        <f t="shared" si="131"/>
        <v>2283</v>
      </c>
      <c r="S130" s="654" t="str">
        <f t="shared" si="131"/>
        <v>_</v>
      </c>
      <c r="T130" s="656" t="str">
        <f>+VLOOKUP($L130,Data_Validation!$A:$D,1,0)</f>
        <v>2293</v>
      </c>
      <c r="U130" s="656" t="str">
        <f>+VLOOKUP($L130,Data_Validation!$A:$D,3,0)</f>
        <v>Bilan</v>
      </c>
      <c r="V130" s="656" t="str">
        <f>+VLOOKUP($L130,Data_Validation!$A:$D,4,0)</f>
        <v>Autres Courus</v>
      </c>
      <c r="W130" s="656" t="str">
        <f>+VLOOKUP($L130,Data_Validation!$A:$E,5,0)</f>
        <v>$</v>
      </c>
      <c r="X130" s="656">
        <f>+VLOOKUP($L130,Data_Validation!$A:$F,6,0)</f>
        <v>0</v>
      </c>
    </row>
    <row r="131" spans="1:24" ht="15.75" customHeight="1">
      <c r="A131" s="1329" t="s">
        <v>929</v>
      </c>
      <c r="B131" s="1329" t="s">
        <v>3376</v>
      </c>
      <c r="C131" s="1331">
        <v>-139203.45000000001</v>
      </c>
      <c r="D131" s="1331">
        <v>-1518030.55</v>
      </c>
      <c r="E131" s="1331">
        <v>-1657234</v>
      </c>
      <c r="F131" s="1329" t="s">
        <v>902</v>
      </c>
      <c r="G131" s="1329" t="s">
        <v>923</v>
      </c>
      <c r="H131" s="1329" t="s">
        <v>3942</v>
      </c>
      <c r="I131" s="651"/>
      <c r="J131" s="651"/>
      <c r="K131" s="651"/>
      <c r="L131" s="653" t="str">
        <f t="shared" ref="L131:L179" si="132">TEXT(B131,0)</f>
        <v>2296</v>
      </c>
      <c r="M131" s="654" t="str">
        <f t="shared" si="0"/>
        <v>COMPTE FOURNISSEURS INTERCO</v>
      </c>
      <c r="N131" s="655">
        <f>+IF(OR($Q131=Parametres!$G$2,$Q131=Parametres!$G$3),I131,C131)</f>
        <v>-139203.45000000001</v>
      </c>
      <c r="O131" s="659">
        <f>+IF(OR($Q131=Parametres!$G$2,$Q131=Parametres!$G$3),J131,D131)</f>
        <v>-1518030.55</v>
      </c>
      <c r="P131" s="655">
        <f>+IF(OR($Q131=Parametres!$G$2,$Q131=Parametres!$G$3),K131,E131)</f>
        <v>-1657234</v>
      </c>
      <c r="Q131" s="654" t="str">
        <f t="shared" ref="Q131:S131" si="133">+F131</f>
        <v>3-Passifs</v>
      </c>
      <c r="R131" s="653" t="str">
        <f t="shared" si="133"/>
        <v>2291</v>
      </c>
      <c r="S131" s="654" t="str">
        <f t="shared" si="133"/>
        <v>_</v>
      </c>
      <c r="T131" s="656" t="str">
        <f>+VLOOKUP($L131,Data_Validation!$A:$D,1,0)</f>
        <v>2296</v>
      </c>
      <c r="U131" s="656" t="str">
        <f>+VLOOKUP($L131,Data_Validation!$A:$D,3,0)</f>
        <v>Bilan</v>
      </c>
      <c r="V131" s="656" t="str">
        <f>+VLOOKUP($L131,Data_Validation!$A:$D,4,0)</f>
        <v>Payables Intercos</v>
      </c>
      <c r="W131" s="656" t="str">
        <f>+VLOOKUP($L131,Data_Validation!$A:$E,5,0)</f>
        <v>$</v>
      </c>
      <c r="X131" s="656">
        <f>+VLOOKUP($L131,Data_Validation!$A:$F,6,0)</f>
        <v>0</v>
      </c>
    </row>
    <row r="132" spans="1:24" ht="15" customHeight="1">
      <c r="A132" s="1329" t="s">
        <v>930</v>
      </c>
      <c r="B132" s="1329" t="s">
        <v>1687</v>
      </c>
      <c r="C132" s="1331">
        <v>0</v>
      </c>
      <c r="D132" s="1331">
        <v>-3300</v>
      </c>
      <c r="E132" s="1331">
        <v>-3300</v>
      </c>
      <c r="F132" s="1329" t="s">
        <v>902</v>
      </c>
      <c r="G132" s="1329" t="s">
        <v>918</v>
      </c>
      <c r="H132" s="1329" t="s">
        <v>3942</v>
      </c>
      <c r="I132" s="651"/>
      <c r="J132" s="651"/>
      <c r="K132" s="651"/>
      <c r="L132" s="653" t="str">
        <f t="shared" si="132"/>
        <v>2297</v>
      </c>
      <c r="M132" s="654" t="str">
        <f t="shared" si="0"/>
        <v>RESERVE RENOUVELLEMENT</v>
      </c>
      <c r="N132" s="655">
        <f>+IF(OR($Q132=Parametres!$G$2,$Q132=Parametres!$G$3),I132,C132)</f>
        <v>0</v>
      </c>
      <c r="O132" s="655">
        <f>+IF(OR($Q132=Parametres!$G$2,$Q132=Parametres!$G$3),J132,D132)</f>
        <v>-3300</v>
      </c>
      <c r="P132" s="655">
        <f>+IF(OR($Q132=Parametres!$G$2,$Q132=Parametres!$G$3),K132,E132)</f>
        <v>-3300</v>
      </c>
      <c r="Q132" s="654" t="str">
        <f t="shared" ref="Q132:S132" si="134">+F132</f>
        <v>3-Passifs</v>
      </c>
      <c r="R132" s="653" t="str">
        <f t="shared" si="134"/>
        <v>2283</v>
      </c>
      <c r="S132" s="654" t="str">
        <f t="shared" si="134"/>
        <v>_</v>
      </c>
      <c r="T132" s="656" t="str">
        <f>+VLOOKUP($L132,Data_Validation!$A:$D,1,0)</f>
        <v>2297</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329" t="s">
        <v>3335</v>
      </c>
      <c r="B133" s="1329" t="s">
        <v>3336</v>
      </c>
      <c r="C133" s="1331">
        <v>27.79</v>
      </c>
      <c r="D133" s="1331">
        <v>0</v>
      </c>
      <c r="E133" s="1331">
        <v>27.79</v>
      </c>
      <c r="F133" s="1329" t="s">
        <v>902</v>
      </c>
      <c r="G133" s="1329" t="s">
        <v>3336</v>
      </c>
      <c r="H133" s="1329" t="s">
        <v>3942</v>
      </c>
      <c r="I133" s="652"/>
      <c r="J133" s="652"/>
      <c r="K133" s="652"/>
      <c r="L133" s="653" t="str">
        <f t="shared" si="132"/>
        <v>2305</v>
      </c>
      <c r="M133" s="654" t="str">
        <f t="shared" si="0"/>
        <v>FUTA ASSURANCE EMPLOYE</v>
      </c>
      <c r="N133" s="655">
        <f>+IF(OR($Q133=Parametres!$G$2,$Q133=Parametres!$G$3),I133,C133)</f>
        <v>27.79</v>
      </c>
      <c r="O133" s="655">
        <f>+IF(OR($Q133=Parametres!$G$2,$Q133=Parametres!$G$3),J133,D133)</f>
        <v>0</v>
      </c>
      <c r="P133" s="655">
        <f>+IF(OR($Q133=Parametres!$G$2,$Q133=Parametres!$G$3),K133,E133)</f>
        <v>27.79</v>
      </c>
      <c r="Q133" s="654" t="str">
        <f t="shared" ref="Q133:S133" si="135">+F133</f>
        <v>3-Passifs</v>
      </c>
      <c r="R133" s="653" t="str">
        <f t="shared" si="135"/>
        <v>2305</v>
      </c>
      <c r="S133" s="654" t="str">
        <f t="shared" si="135"/>
        <v>_</v>
      </c>
      <c r="T133" s="656" t="str">
        <f>+VLOOKUP($L133,Data_Validation!$A:$D,1,0)</f>
        <v>2305</v>
      </c>
      <c r="U133" s="656" t="str">
        <f>+VLOOKUP($L133,Data_Validation!$A:$D,3,0)</f>
        <v>Bilan</v>
      </c>
      <c r="V133" s="656" t="str">
        <f>+VLOOKUP($L133,Data_Validation!$A:$D,4,0)</f>
        <v>DAS à Payer</v>
      </c>
      <c r="W133" s="656" t="str">
        <f>+VLOOKUP($L133,Data_Validation!$A:$E,5,0)</f>
        <v>$</v>
      </c>
      <c r="X133" s="656">
        <f>+VLOOKUP($L133,Data_Validation!$A:$F,6,0)</f>
        <v>0</v>
      </c>
    </row>
    <row r="134" spans="1:24" ht="15" customHeight="1">
      <c r="A134" s="1329" t="s">
        <v>931</v>
      </c>
      <c r="B134" s="1329" t="s">
        <v>932</v>
      </c>
      <c r="C134" s="1331">
        <v>34722.120000000003</v>
      </c>
      <c r="D134" s="1331">
        <v>-21314.55</v>
      </c>
      <c r="E134" s="1331">
        <v>13407.57</v>
      </c>
      <c r="F134" s="1329" t="s">
        <v>902</v>
      </c>
      <c r="G134" s="1329" t="s">
        <v>932</v>
      </c>
      <c r="H134" s="1329" t="s">
        <v>3942</v>
      </c>
      <c r="I134" s="652"/>
      <c r="J134" s="652"/>
      <c r="K134" s="652"/>
      <c r="L134" s="653" t="str">
        <f t="shared" si="132"/>
        <v>2315</v>
      </c>
      <c r="M134" s="654" t="str">
        <f t="shared" si="0"/>
        <v>PRIME ASSURANCE GROUPE</v>
      </c>
      <c r="N134" s="655">
        <f>+IF(OR($Q134=Parametres!$G$2,$Q134=Parametres!$G$3),I134,C134)</f>
        <v>34722.120000000003</v>
      </c>
      <c r="O134" s="655">
        <f>+IF(OR($Q134=Parametres!$G$2,$Q134=Parametres!$G$3),J134,D134)</f>
        <v>-21314.55</v>
      </c>
      <c r="P134" s="655">
        <f>+IF(OR($Q134=Parametres!$G$2,$Q134=Parametres!$G$3),K134,E134)</f>
        <v>13407.57</v>
      </c>
      <c r="Q134" s="654" t="str">
        <f t="shared" ref="Q134:S134" si="136">+F134</f>
        <v>3-Passifs</v>
      </c>
      <c r="R134" s="653" t="str">
        <f t="shared" si="136"/>
        <v>2315</v>
      </c>
      <c r="S134" s="654" t="str">
        <f t="shared" si="136"/>
        <v>_</v>
      </c>
      <c r="T134" s="656" t="str">
        <f>+VLOOKUP($L134,Data_Validation!$A:$D,1,0)</f>
        <v>2315</v>
      </c>
      <c r="U134" s="656" t="str">
        <f>+VLOOKUP($L134,Data_Validation!$A:$D,3,0)</f>
        <v>Bilan</v>
      </c>
      <c r="V134" s="656" t="str">
        <f>+VLOOKUP($L134,Data_Validation!$A:$D,4,0)</f>
        <v>DAS à Payer</v>
      </c>
      <c r="W134" s="656" t="str">
        <f>+VLOOKUP($L134,Data_Validation!$A:$E,5,0)</f>
        <v>$</v>
      </c>
      <c r="X134" s="656">
        <f>+VLOOKUP($L134,Data_Validation!$A:$F,6,0)</f>
        <v>0</v>
      </c>
    </row>
    <row r="135" spans="1:24" ht="15.75" customHeight="1">
      <c r="A135" s="1329" t="s">
        <v>933</v>
      </c>
      <c r="B135" s="1329" t="s">
        <v>1695</v>
      </c>
      <c r="C135" s="1331">
        <v>52.35</v>
      </c>
      <c r="D135" s="1331">
        <v>0</v>
      </c>
      <c r="E135" s="1331">
        <v>52.35</v>
      </c>
      <c r="F135" s="1329" t="s">
        <v>902</v>
      </c>
      <c r="G135" s="1329" t="s">
        <v>932</v>
      </c>
      <c r="H135" s="1329" t="s">
        <v>3942</v>
      </c>
      <c r="I135" s="652"/>
      <c r="J135" s="652"/>
      <c r="K135" s="652"/>
      <c r="L135" s="653" t="str">
        <f t="shared" si="132"/>
        <v>2335</v>
      </c>
      <c r="M135" s="654" t="str">
        <f t="shared" si="0"/>
        <v>COMITE SOCIAL</v>
      </c>
      <c r="N135" s="655">
        <f>+IF(OR($Q135=Parametres!$G$2,$Q135=Parametres!$G$3),I135,C135)</f>
        <v>52.35</v>
      </c>
      <c r="O135" s="655">
        <f>+IF(OR($Q135=Parametres!$G$2,$Q135=Parametres!$G$3),J135,D135)</f>
        <v>0</v>
      </c>
      <c r="P135" s="655">
        <f>+IF(OR($Q135=Parametres!$G$2,$Q135=Parametres!$G$3),K135,E135)</f>
        <v>52.35</v>
      </c>
      <c r="Q135" s="654" t="str">
        <f t="shared" ref="Q135:S135" si="137">+F135</f>
        <v>3-Passifs</v>
      </c>
      <c r="R135" s="653" t="str">
        <f t="shared" si="137"/>
        <v>2315</v>
      </c>
      <c r="S135" s="654" t="str">
        <f t="shared" si="137"/>
        <v>_</v>
      </c>
      <c r="T135" s="656" t="str">
        <f>+VLOOKUP($L135,Data_Validation!$A:$D,1,0)</f>
        <v>2335</v>
      </c>
      <c r="U135" s="656" t="str">
        <f>+VLOOKUP($L135,Data_Validation!$A:$D,3,0)</f>
        <v>Bilan</v>
      </c>
      <c r="V135" s="656" t="str">
        <f>+VLOOKUP($L135,Data_Validation!$A:$D,4,0)</f>
        <v>DAS à Payer</v>
      </c>
      <c r="W135" s="656" t="str">
        <f>+VLOOKUP($L135,Data_Validation!$A:$E,5,0)</f>
        <v>$</v>
      </c>
      <c r="X135" s="656">
        <f>+VLOOKUP($L135,Data_Validation!$A:$F,6,0)</f>
        <v>0</v>
      </c>
    </row>
    <row r="136" spans="1:24" ht="15" customHeight="1">
      <c r="A136" s="1329" t="s">
        <v>934</v>
      </c>
      <c r="B136" s="1329" t="s">
        <v>1701</v>
      </c>
      <c r="C136" s="1331">
        <v>-41033.61</v>
      </c>
      <c r="D136" s="1331">
        <v>12103.43</v>
      </c>
      <c r="E136" s="1331">
        <v>-28930.18</v>
      </c>
      <c r="F136" s="1329" t="s">
        <v>902</v>
      </c>
      <c r="G136" s="1329" t="s">
        <v>932</v>
      </c>
      <c r="H136" s="1329" t="s">
        <v>3942</v>
      </c>
      <c r="I136" s="652"/>
      <c r="J136" s="652"/>
      <c r="K136" s="652"/>
      <c r="L136" s="653" t="str">
        <f t="shared" ref="L136:L151" si="138">TEXT(B136,0)</f>
        <v>2342</v>
      </c>
      <c r="M136" s="654" t="str">
        <f t="shared" ref="M136:M151" si="139">+A136</f>
        <v>REER STANDARD LIFE</v>
      </c>
      <c r="N136" s="655">
        <f>+IF(OR($Q136=Parametres!$G$2,$Q136=Parametres!$G$3),I136,C136)</f>
        <v>-41033.61</v>
      </c>
      <c r="O136" s="655">
        <f>+IF(OR($Q136=Parametres!$G$2,$Q136=Parametres!$G$3),J136,D136)</f>
        <v>12103.43</v>
      </c>
      <c r="P136" s="655">
        <f>+IF(OR($Q136=Parametres!$G$2,$Q136=Parametres!$G$3),K136,E136)</f>
        <v>-28930.18</v>
      </c>
      <c r="Q136" s="654" t="str">
        <f t="shared" ref="Q136:Q151" si="140">+F136</f>
        <v>3-Passifs</v>
      </c>
      <c r="R136" s="653" t="str">
        <f t="shared" ref="R136:R151" si="141">+G136</f>
        <v>2315</v>
      </c>
      <c r="S136" s="654" t="str">
        <f t="shared" ref="S136:S151" si="142">+H136</f>
        <v>_</v>
      </c>
      <c r="T136" s="656" t="str">
        <f>+VLOOKUP($L136,Data_Validation!$A:$D,1,0)</f>
        <v>2342</v>
      </c>
      <c r="U136" s="656" t="str">
        <f>+VLOOKUP($L136,Data_Validation!$A:$D,3,0)</f>
        <v>Bilan</v>
      </c>
      <c r="V136" s="656" t="str">
        <f>+VLOOKUP($L136,Data_Validation!$A:$D,4,0)</f>
        <v>DAS à Payer</v>
      </c>
      <c r="W136" s="656" t="str">
        <f>+VLOOKUP($L136,Data_Validation!$A:$E,5,0)</f>
        <v>$</v>
      </c>
      <c r="X136" s="656">
        <f>+VLOOKUP($L136,Data_Validation!$A:$F,6,0)</f>
        <v>0</v>
      </c>
    </row>
    <row r="137" spans="1:24" ht="15" customHeight="1">
      <c r="A137" s="1329" t="s">
        <v>935</v>
      </c>
      <c r="B137" s="1329" t="s">
        <v>1704</v>
      </c>
      <c r="C137" s="1331">
        <v>128.9</v>
      </c>
      <c r="D137" s="1331">
        <v>-721.68</v>
      </c>
      <c r="E137" s="1331">
        <v>-592.78</v>
      </c>
      <c r="F137" s="1329" t="s">
        <v>902</v>
      </c>
      <c r="G137" s="1329" t="s">
        <v>932</v>
      </c>
      <c r="H137" s="1329" t="s">
        <v>3942</v>
      </c>
      <c r="I137" s="652"/>
      <c r="J137" s="652"/>
      <c r="K137" s="652"/>
      <c r="L137" s="653" t="str">
        <f t="shared" si="138"/>
        <v>2343</v>
      </c>
      <c r="M137" s="654" t="str">
        <f t="shared" si="139"/>
        <v>COMITE PARITAIRE</v>
      </c>
      <c r="N137" s="655">
        <f>+IF(OR($Q137=Parametres!$G$2,$Q137=Parametres!$G$3),I137,C137)</f>
        <v>128.9</v>
      </c>
      <c r="O137" s="655">
        <f>+IF(OR($Q137=Parametres!$G$2,$Q137=Parametres!$G$3),J137,D137)</f>
        <v>-721.68</v>
      </c>
      <c r="P137" s="655">
        <f>+IF(OR($Q137=Parametres!$G$2,$Q137=Parametres!$G$3),K137,E137)</f>
        <v>-592.78</v>
      </c>
      <c r="Q137" s="654" t="str">
        <f t="shared" si="140"/>
        <v>3-Passifs</v>
      </c>
      <c r="R137" s="653" t="str">
        <f t="shared" si="141"/>
        <v>2315</v>
      </c>
      <c r="S137" s="654" t="str">
        <f t="shared" si="142"/>
        <v>_</v>
      </c>
      <c r="T137" s="656" t="str">
        <f>+VLOOKUP($L137,Data_Validation!$A:$D,1,0)</f>
        <v>2343</v>
      </c>
      <c r="U137" s="656" t="str">
        <f>+VLOOKUP($L137,Data_Validation!$A:$D,3,0)</f>
        <v>Bilan</v>
      </c>
      <c r="V137" s="656" t="str">
        <f>+VLOOKUP($L137,Data_Validation!$A:$D,4,0)</f>
        <v>DAS à Payer</v>
      </c>
      <c r="W137" s="656" t="str">
        <f>+VLOOKUP($L137,Data_Validation!$A:$E,5,0)</f>
        <v>$</v>
      </c>
      <c r="X137" s="656">
        <f>+VLOOKUP($L137,Data_Validation!$A:$F,6,0)</f>
        <v>0</v>
      </c>
    </row>
    <row r="138" spans="1:24" ht="15" customHeight="1">
      <c r="A138" s="1329" t="s">
        <v>937</v>
      </c>
      <c r="B138" s="1329" t="s">
        <v>938</v>
      </c>
      <c r="C138" s="1331">
        <v>-14850</v>
      </c>
      <c r="D138" s="1331">
        <v>-4450</v>
      </c>
      <c r="E138" s="1331">
        <v>-19300</v>
      </c>
      <c r="F138" s="1329" t="s">
        <v>902</v>
      </c>
      <c r="G138" s="1329" t="s">
        <v>938</v>
      </c>
      <c r="H138" s="1329" t="s">
        <v>3942</v>
      </c>
      <c r="I138" s="663"/>
      <c r="J138" s="663"/>
      <c r="K138" s="663"/>
      <c r="L138" s="653" t="str">
        <f t="shared" si="138"/>
        <v>2401</v>
      </c>
      <c r="M138" s="654" t="str">
        <f t="shared" si="139"/>
        <v>DEPOTS FIDUCIE-VENTE CLIENTS</v>
      </c>
      <c r="N138" s="655">
        <f>+IF(OR($Q138=Parametres!$G$2,$Q138=Parametres!$G$3),I138,C138)</f>
        <v>-14850</v>
      </c>
      <c r="O138" s="655">
        <f>+IF(OR($Q138=Parametres!$G$2,$Q138=Parametres!$G$3),J138,D138)</f>
        <v>-4450</v>
      </c>
      <c r="P138" s="655">
        <f>+IF(OR($Q138=Parametres!$G$2,$Q138=Parametres!$G$3),K138,E138)</f>
        <v>-19300</v>
      </c>
      <c r="Q138" s="654" t="str">
        <f t="shared" si="140"/>
        <v>3-Passifs</v>
      </c>
      <c r="R138" s="653" t="str">
        <f t="shared" si="141"/>
        <v>2401</v>
      </c>
      <c r="S138" s="654" t="str">
        <f t="shared" si="142"/>
        <v>_</v>
      </c>
      <c r="T138" s="656" t="str">
        <f>+VLOOKUP($L138,Data_Validation!$A:$D,1,0)</f>
        <v>2401</v>
      </c>
      <c r="U138" s="656" t="str">
        <f>+VLOOKUP($L138,Data_Validation!$A:$D,3,0)</f>
        <v>Bilan</v>
      </c>
      <c r="V138" s="656" t="str">
        <f>+VLOOKUP($L138,Data_Validation!$A:$D,4,0)</f>
        <v>Dépôts de Client</v>
      </c>
      <c r="W138" s="656" t="str">
        <f>+VLOOKUP($L138,Data_Validation!$A:$E,5,0)</f>
        <v>$</v>
      </c>
      <c r="X138" s="656">
        <f>+VLOOKUP($L138,Data_Validation!$A:$F,6,0)</f>
        <v>0</v>
      </c>
    </row>
    <row r="139" spans="1:24" ht="15.75" customHeight="1">
      <c r="A139" s="1329" t="s">
        <v>939</v>
      </c>
      <c r="B139" s="1329" t="s">
        <v>940</v>
      </c>
      <c r="C139" s="1331">
        <v>-19918.990000000002</v>
      </c>
      <c r="D139" s="1331">
        <v>3221.86</v>
      </c>
      <c r="E139" s="1331">
        <v>-16697.13</v>
      </c>
      <c r="F139" s="1329" t="s">
        <v>902</v>
      </c>
      <c r="G139" s="1329" t="s">
        <v>940</v>
      </c>
      <c r="H139" s="1329" t="s">
        <v>3942</v>
      </c>
      <c r="I139" s="652"/>
      <c r="J139" s="652"/>
      <c r="K139" s="652"/>
      <c r="L139" s="653" t="str">
        <f t="shared" si="138"/>
        <v>2501</v>
      </c>
      <c r="M139" s="654" t="str">
        <f t="shared" si="139"/>
        <v>COMMISSION A PAYER</v>
      </c>
      <c r="N139" s="655">
        <f>+IF(OR($Q139=Parametres!$G$2,$Q139=Parametres!$G$3),I139,C139)</f>
        <v>-19918.990000000002</v>
      </c>
      <c r="O139" s="655">
        <f>+IF(OR($Q139=Parametres!$G$2,$Q139=Parametres!$G$3),J139,D139)</f>
        <v>3221.86</v>
      </c>
      <c r="P139" s="655">
        <f>+IF(OR($Q139=Parametres!$G$2,$Q139=Parametres!$G$3),K139,E139)</f>
        <v>-16697.13</v>
      </c>
      <c r="Q139" s="654" t="str">
        <f t="shared" si="140"/>
        <v>3-Passifs</v>
      </c>
      <c r="R139" s="653" t="str">
        <f t="shared" si="141"/>
        <v>2501</v>
      </c>
      <c r="S139" s="654" t="str">
        <f t="shared" si="142"/>
        <v>_</v>
      </c>
      <c r="T139" s="656" t="str">
        <f>+VLOOKUP($L139,Data_Validation!$A:$D,1,0)</f>
        <v>2501</v>
      </c>
      <c r="U139" s="656" t="str">
        <f>+VLOOKUP($L139,Data_Validation!$A:$D,3,0)</f>
        <v>Bilan</v>
      </c>
      <c r="V139" s="656" t="str">
        <f>+VLOOKUP($L139,Data_Validation!$A:$D,4,0)</f>
        <v>Salaires à Payer</v>
      </c>
      <c r="W139" s="656" t="str">
        <f>+VLOOKUP($L139,Data_Validation!$A:$E,5,0)</f>
        <v>$</v>
      </c>
      <c r="X139" s="656">
        <f>+VLOOKUP($L139,Data_Validation!$A:$F,6,0)</f>
        <v>0</v>
      </c>
    </row>
    <row r="140" spans="1:24" ht="15" customHeight="1">
      <c r="A140" s="1329" t="s">
        <v>941</v>
      </c>
      <c r="B140" s="1329" t="s">
        <v>3377</v>
      </c>
      <c r="C140" s="1331">
        <v>3970.18</v>
      </c>
      <c r="D140" s="1331">
        <v>318.12</v>
      </c>
      <c r="E140" s="1331">
        <v>4288.3</v>
      </c>
      <c r="F140" s="1329" t="s">
        <v>902</v>
      </c>
      <c r="G140" s="1329" t="s">
        <v>942</v>
      </c>
      <c r="H140" s="1329" t="s">
        <v>3942</v>
      </c>
      <c r="I140" s="652"/>
      <c r="J140" s="652"/>
      <c r="K140" s="652"/>
      <c r="L140" s="653" t="str">
        <f t="shared" si="138"/>
        <v>2502</v>
      </c>
      <c r="M140" s="654" t="str">
        <f t="shared" si="139"/>
        <v>Compte de depense a payer</v>
      </c>
      <c r="N140" s="655">
        <f>+IF(OR($Q140=Parametres!$G$2,$Q140=Parametres!$G$3),I140,C140)</f>
        <v>3970.18</v>
      </c>
      <c r="O140" s="655">
        <f>+IF(OR($Q140=Parametres!$G$2,$Q140=Parametres!$G$3),J140,D140)</f>
        <v>318.12</v>
      </c>
      <c r="P140" s="655">
        <f>+IF(OR($Q140=Parametres!$G$2,$Q140=Parametres!$G$3),K140,E140)</f>
        <v>4288.3</v>
      </c>
      <c r="Q140" s="654" t="str">
        <f t="shared" si="140"/>
        <v>3-Passifs</v>
      </c>
      <c r="R140" s="653" t="str">
        <f t="shared" si="141"/>
        <v>250</v>
      </c>
      <c r="S140" s="654" t="str">
        <f t="shared" si="142"/>
        <v>_</v>
      </c>
      <c r="T140" s="656" t="str">
        <f>+VLOOKUP($L140,Data_Validation!$A:$D,1,0)</f>
        <v>2502</v>
      </c>
      <c r="U140" s="656" t="str">
        <f>+VLOOKUP($L140,Data_Validation!$A:$D,3,0)</f>
        <v>Bilan</v>
      </c>
      <c r="V140" s="656" t="str">
        <f>+VLOOKUP($L140,Data_Validation!$A:$D,4,0)</f>
        <v>Salaires à Payer</v>
      </c>
      <c r="W140" s="656" t="str">
        <f>+VLOOKUP($L140,Data_Validation!$A:$E,5,0)</f>
        <v>$</v>
      </c>
      <c r="X140" s="656">
        <f>+VLOOKUP($L140,Data_Validation!$A:$F,6,0)</f>
        <v>0</v>
      </c>
    </row>
    <row r="141" spans="1:24" ht="15" customHeight="1">
      <c r="A141" s="1329" t="s">
        <v>943</v>
      </c>
      <c r="B141" s="1329" t="s">
        <v>944</v>
      </c>
      <c r="C141" s="1331">
        <v>-137743.32</v>
      </c>
      <c r="D141" s="1331">
        <v>82329.69</v>
      </c>
      <c r="E141" s="1331">
        <v>-55413.63</v>
      </c>
      <c r="F141" s="1329" t="s">
        <v>902</v>
      </c>
      <c r="G141" s="1329" t="s">
        <v>944</v>
      </c>
      <c r="H141" s="1329" t="s">
        <v>3942</v>
      </c>
      <c r="I141" s="663"/>
      <c r="J141" s="663"/>
      <c r="K141" s="663"/>
      <c r="L141" s="653" t="str">
        <f t="shared" si="138"/>
        <v>2503</v>
      </c>
      <c r="M141" s="654" t="str">
        <f t="shared" si="139"/>
        <v>SALAIRES DES EMPLOYES</v>
      </c>
      <c r="N141" s="655">
        <f>+IF(OR($Q141=Parametres!$G$2,$Q141=Parametres!$G$3),I141,C141)</f>
        <v>-137743.32</v>
      </c>
      <c r="O141" s="655">
        <f>+IF(OR($Q141=Parametres!$G$2,$Q141=Parametres!$G$3),J141,D141)</f>
        <v>82329.69</v>
      </c>
      <c r="P141" s="655">
        <f>+IF(OR($Q141=Parametres!$G$2,$Q141=Parametres!$G$3),K141,E141)</f>
        <v>-55413.63</v>
      </c>
      <c r="Q141" s="654" t="str">
        <f t="shared" si="140"/>
        <v>3-Passifs</v>
      </c>
      <c r="R141" s="653" t="str">
        <f t="shared" si="141"/>
        <v>2503</v>
      </c>
      <c r="S141" s="654" t="str">
        <f t="shared" si="142"/>
        <v>_</v>
      </c>
      <c r="T141" s="656" t="str">
        <f>+VLOOKUP($L141,Data_Validation!$A:$D,1,0)</f>
        <v>2503</v>
      </c>
      <c r="U141" s="656" t="str">
        <f>+VLOOKUP($L141,Data_Validation!$A:$D,3,0)</f>
        <v>Bilan</v>
      </c>
      <c r="V141" s="656" t="str">
        <f>+VLOOKUP($L141,Data_Validation!$A:$D,4,0)</f>
        <v>Salaires à Payer</v>
      </c>
      <c r="W141" s="656" t="str">
        <f>+VLOOKUP($L141,Data_Validation!$A:$E,5,0)</f>
        <v>$</v>
      </c>
      <c r="X141" s="656">
        <f>+VLOOKUP($L141,Data_Validation!$A:$F,6,0)</f>
        <v>0</v>
      </c>
    </row>
    <row r="142" spans="1:24" ht="15" customHeight="1">
      <c r="A142" s="1329" t="s">
        <v>946</v>
      </c>
      <c r="B142" s="1329" t="s">
        <v>1740</v>
      </c>
      <c r="C142" s="1331">
        <v>-253249.09</v>
      </c>
      <c r="D142" s="1331">
        <v>-16476.95</v>
      </c>
      <c r="E142" s="1331">
        <v>-269726.03999999998</v>
      </c>
      <c r="F142" s="1329" t="s">
        <v>902</v>
      </c>
      <c r="G142" s="1329" t="s">
        <v>944</v>
      </c>
      <c r="H142" s="1329" t="s">
        <v>3942</v>
      </c>
      <c r="I142" s="663"/>
      <c r="J142" s="663"/>
      <c r="K142" s="663"/>
      <c r="L142" s="653" t="str">
        <f t="shared" si="138"/>
        <v>2509</v>
      </c>
      <c r="M142" s="654" t="str">
        <f t="shared" si="139"/>
        <v>SALAIRES DE VACANCES</v>
      </c>
      <c r="N142" s="655">
        <f>+IF(OR($Q142=Parametres!$G$2,$Q142=Parametres!$G$3),I142,C142)</f>
        <v>-253249.09</v>
      </c>
      <c r="O142" s="655">
        <f>+IF(OR($Q142=Parametres!$G$2,$Q142=Parametres!$G$3),J142,D142)</f>
        <v>-16476.95</v>
      </c>
      <c r="P142" s="655">
        <f>+IF(OR($Q142=Parametres!$G$2,$Q142=Parametres!$G$3),K142,E142)</f>
        <v>-269726.03999999998</v>
      </c>
      <c r="Q142" s="654" t="str">
        <f t="shared" si="140"/>
        <v>3-Passifs</v>
      </c>
      <c r="R142" s="653" t="str">
        <f t="shared" si="141"/>
        <v>2503</v>
      </c>
      <c r="S142" s="654" t="str">
        <f t="shared" si="142"/>
        <v>_</v>
      </c>
      <c r="T142" s="656" t="str">
        <f>+VLOOKUP($L142,Data_Validation!$A:$D,1,0)</f>
        <v>2509</v>
      </c>
      <c r="U142" s="656" t="str">
        <f>+VLOOKUP($L142,Data_Validation!$A:$D,3,0)</f>
        <v>Bilan</v>
      </c>
      <c r="V142" s="656" t="str">
        <f>+VLOOKUP($L142,Data_Validation!$A:$D,4,0)</f>
        <v>Salaires à Payer</v>
      </c>
      <c r="W142" s="656" t="str">
        <f>+VLOOKUP($L142,Data_Validation!$A:$E,5,0)</f>
        <v>$</v>
      </c>
      <c r="X142" s="656">
        <f>+VLOOKUP($L142,Data_Validation!$A:$F,6,0)</f>
        <v>0</v>
      </c>
    </row>
    <row r="143" spans="1:24" ht="15.75" customHeight="1">
      <c r="A143" s="1329" t="s">
        <v>947</v>
      </c>
      <c r="B143" s="1329" t="s">
        <v>1743</v>
      </c>
      <c r="C143" s="1331">
        <v>-2027.95</v>
      </c>
      <c r="D143" s="1331">
        <v>0</v>
      </c>
      <c r="E143" s="1331">
        <v>-2027.95</v>
      </c>
      <c r="F143" s="1329" t="s">
        <v>902</v>
      </c>
      <c r="G143" s="1329" t="s">
        <v>944</v>
      </c>
      <c r="H143" s="1329" t="s">
        <v>3942</v>
      </c>
      <c r="I143" s="652"/>
      <c r="J143" s="652"/>
      <c r="K143" s="652"/>
      <c r="L143" s="653" t="str">
        <f t="shared" si="138"/>
        <v>2511</v>
      </c>
      <c r="M143" s="654" t="str">
        <f t="shared" si="139"/>
        <v>JOURNEE MALADIE</v>
      </c>
      <c r="N143" s="655">
        <f>+IF(OR($Q143=Parametres!$G$2,$Q143=Parametres!$G$3),I143,C143)</f>
        <v>-2027.95</v>
      </c>
      <c r="O143" s="655">
        <f>+IF(OR($Q143=Parametres!$G$2,$Q143=Parametres!$G$3),J143,D143)</f>
        <v>0</v>
      </c>
      <c r="P143" s="655">
        <f>+IF(OR($Q143=Parametres!$G$2,$Q143=Parametres!$G$3),K143,E143)</f>
        <v>-2027.95</v>
      </c>
      <c r="Q143" s="654" t="str">
        <f t="shared" si="140"/>
        <v>3-Passifs</v>
      </c>
      <c r="R143" s="653" t="str">
        <f t="shared" si="141"/>
        <v>2503</v>
      </c>
      <c r="S143" s="654" t="str">
        <f t="shared" si="142"/>
        <v>_</v>
      </c>
      <c r="T143" s="656" t="str">
        <f>+VLOOKUP($L143,Data_Validation!$A:$D,1,0)</f>
        <v>2511</v>
      </c>
      <c r="U143" s="656" t="str">
        <f>+VLOOKUP($L143,Data_Validation!$A:$D,3,0)</f>
        <v>Bilan</v>
      </c>
      <c r="V143" s="656" t="str">
        <f>+VLOOKUP($L143,Data_Validation!$A:$D,4,0)</f>
        <v>Salaires à Payer</v>
      </c>
      <c r="W143" s="656" t="str">
        <f>+VLOOKUP($L143,Data_Validation!$A:$E,5,0)</f>
        <v>$</v>
      </c>
      <c r="X143" s="656">
        <f>+VLOOKUP($L143,Data_Validation!$A:$F,6,0)</f>
        <v>0</v>
      </c>
    </row>
    <row r="144" spans="1:24" ht="15" customHeight="1">
      <c r="A144" s="1329" t="s">
        <v>948</v>
      </c>
      <c r="B144" s="1329" t="s">
        <v>949</v>
      </c>
      <c r="C144" s="1331">
        <v>-207763</v>
      </c>
      <c r="D144" s="1331">
        <v>-27332</v>
      </c>
      <c r="E144" s="1331">
        <v>-235095</v>
      </c>
      <c r="F144" s="1329" t="s">
        <v>902</v>
      </c>
      <c r="G144" s="1329" t="s">
        <v>949</v>
      </c>
      <c r="H144" s="1329" t="s">
        <v>3942</v>
      </c>
      <c r="I144" s="652"/>
      <c r="J144" s="652"/>
      <c r="K144" s="652"/>
      <c r="L144" s="653" t="str">
        <f t="shared" si="138"/>
        <v>2561</v>
      </c>
      <c r="M144" s="654" t="str">
        <f t="shared" si="139"/>
        <v>REVENUE HOLDBACK DIFFERE</v>
      </c>
      <c r="N144" s="655">
        <f>+IF(OR($Q144=Parametres!$G$2,$Q144=Parametres!$G$3),I144,C144)</f>
        <v>-207763</v>
      </c>
      <c r="O144" s="655">
        <f>+IF(OR($Q144=Parametres!$G$2,$Q144=Parametres!$G$3),J144,D144)</f>
        <v>-27332</v>
      </c>
      <c r="P144" s="655">
        <f>+IF(OR($Q144=Parametres!$G$2,$Q144=Parametres!$G$3),K144,E144)</f>
        <v>-235095</v>
      </c>
      <c r="Q144" s="654" t="str">
        <f t="shared" si="140"/>
        <v>3-Passifs</v>
      </c>
      <c r="R144" s="653" t="str">
        <f t="shared" si="141"/>
        <v>2561</v>
      </c>
      <c r="S144" s="654" t="str">
        <f t="shared" si="142"/>
        <v>_</v>
      </c>
      <c r="T144" s="656" t="str">
        <f>+VLOOKUP($L144,Data_Validation!$A:$D,1,0)</f>
        <v>2561</v>
      </c>
      <c r="U144" s="656" t="str">
        <f>+VLOOKUP($L144,Data_Validation!$A:$D,3,0)</f>
        <v>Bilan</v>
      </c>
      <c r="V144" s="656" t="str">
        <f>+VLOOKUP($L144,Data_Validation!$A:$D,4,0)</f>
        <v>Autres Courus</v>
      </c>
      <c r="W144" s="656" t="str">
        <f>+VLOOKUP($L144,Data_Validation!$A:$E,5,0)</f>
        <v>$</v>
      </c>
      <c r="X144" s="656">
        <f>+VLOOKUP($L144,Data_Validation!$A:$F,6,0)</f>
        <v>0</v>
      </c>
    </row>
    <row r="145" spans="1:24" ht="15" customHeight="1">
      <c r="A145" s="1329" t="s">
        <v>952</v>
      </c>
      <c r="B145" s="1329" t="s">
        <v>953</v>
      </c>
      <c r="C145" s="1331">
        <v>0</v>
      </c>
      <c r="D145" s="1331">
        <v>-5862410</v>
      </c>
      <c r="E145" s="1331">
        <v>-5862410</v>
      </c>
      <c r="F145" s="1329" t="s">
        <v>902</v>
      </c>
      <c r="G145" s="1329" t="s">
        <v>953</v>
      </c>
      <c r="H145" s="1329" t="s">
        <v>3942</v>
      </c>
      <c r="I145" s="652"/>
      <c r="J145" s="652"/>
      <c r="K145" s="652"/>
      <c r="L145" s="653" t="str">
        <f t="shared" si="138"/>
        <v>2801</v>
      </c>
      <c r="M145" s="654" t="str">
        <f t="shared" si="139"/>
        <v>PRET CIBC</v>
      </c>
      <c r="N145" s="655">
        <f>+IF(OR($Q145=Parametres!$G$2,$Q145=Parametres!$G$3),I145,C145)</f>
        <v>0</v>
      </c>
      <c r="O145" s="655">
        <f>+IF(OR($Q145=Parametres!$G$2,$Q145=Parametres!$G$3),J145,D145)</f>
        <v>-5862410</v>
      </c>
      <c r="P145" s="655">
        <f>+IF(OR($Q145=Parametres!$G$2,$Q145=Parametres!$G$3),K145,E145)</f>
        <v>-5862410</v>
      </c>
      <c r="Q145" s="654" t="str">
        <f t="shared" si="140"/>
        <v>3-Passifs</v>
      </c>
      <c r="R145" s="653" t="str">
        <f t="shared" si="141"/>
        <v>2801</v>
      </c>
      <c r="S145" s="654" t="str">
        <f t="shared" si="142"/>
        <v>_</v>
      </c>
      <c r="T145" s="656" t="str">
        <f>+VLOOKUP($L145,Data_Validation!$A:$D,1,0)</f>
        <v>2801</v>
      </c>
      <c r="U145" s="656" t="str">
        <f>+VLOOKUP($L145,Data_Validation!$A:$D,3,0)</f>
        <v>Bilan</v>
      </c>
      <c r="V145" s="656" t="str">
        <f>+VLOOKUP($L145,Data_Validation!$A:$D,4,0)</f>
        <v>Dette à Long Terme</v>
      </c>
      <c r="W145" s="656" t="str">
        <f>+VLOOKUP($L145,Data_Validation!$A:$E,5,0)</f>
        <v>$</v>
      </c>
      <c r="X145" s="656">
        <f>+VLOOKUP($L145,Data_Validation!$A:$F,6,0)</f>
        <v>0</v>
      </c>
    </row>
    <row r="146" spans="1:24" ht="15" customHeight="1">
      <c r="A146" s="1329" t="s">
        <v>956</v>
      </c>
      <c r="B146" s="1329" t="s">
        <v>958</v>
      </c>
      <c r="C146" s="1331">
        <v>-2350000</v>
      </c>
      <c r="D146" s="1331">
        <v>0</v>
      </c>
      <c r="E146" s="1331">
        <v>-2350000</v>
      </c>
      <c r="F146" s="1329" t="s">
        <v>957</v>
      </c>
      <c r="G146" s="1329" t="s">
        <v>958</v>
      </c>
      <c r="H146" s="1329" t="s">
        <v>3942</v>
      </c>
      <c r="I146" s="652"/>
      <c r="J146" s="652"/>
      <c r="K146" s="652"/>
      <c r="L146" s="653" t="str">
        <f t="shared" si="138"/>
        <v>3001</v>
      </c>
      <c r="M146" s="654" t="str">
        <f t="shared" si="139"/>
        <v>ACTIONS CATEGORIE 1</v>
      </c>
      <c r="N146" s="655">
        <f>+IF(OR($Q146=Parametres!$G$2,$Q146=Parametres!$G$3),I146,C146)</f>
        <v>-2350000</v>
      </c>
      <c r="O146" s="655">
        <f>+IF(OR($Q146=Parametres!$G$2,$Q146=Parametres!$G$3),J146,D146)</f>
        <v>0</v>
      </c>
      <c r="P146" s="655">
        <f>+IF(OR($Q146=Parametres!$G$2,$Q146=Parametres!$G$3),K146,E146)</f>
        <v>-2350000</v>
      </c>
      <c r="Q146" s="654" t="str">
        <f t="shared" si="140"/>
        <v>4-Valeur nette</v>
      </c>
      <c r="R146" s="653" t="str">
        <f t="shared" si="141"/>
        <v>3001</v>
      </c>
      <c r="S146" s="654" t="str">
        <f t="shared" si="142"/>
        <v>_</v>
      </c>
      <c r="T146" s="656" t="str">
        <f>+VLOOKUP($L146,Data_Validation!$A:$D,1,0)</f>
        <v>3001</v>
      </c>
      <c r="U146" s="656" t="str">
        <f>+VLOOKUP($L146,Data_Validation!$A:$D,3,0)</f>
        <v>Bilan</v>
      </c>
      <c r="V146" s="656" t="str">
        <f>+VLOOKUP($L146,Data_Validation!$A:$D,4,0)</f>
        <v>Capital Actions</v>
      </c>
      <c r="W146" s="656" t="str">
        <f>+VLOOKUP($L146,Data_Validation!$A:$E,5,0)</f>
        <v>$</v>
      </c>
      <c r="X146" s="656">
        <f>+VLOOKUP($L146,Data_Validation!$A:$F,6,0)</f>
        <v>0</v>
      </c>
    </row>
    <row r="147" spans="1:24" ht="15" customHeight="1">
      <c r="A147" s="1329" t="s">
        <v>959</v>
      </c>
      <c r="B147" s="1329" t="s">
        <v>1768</v>
      </c>
      <c r="C147" s="1331">
        <v>-1723617</v>
      </c>
      <c r="D147" s="1331">
        <v>0</v>
      </c>
      <c r="E147" s="1331">
        <v>-1723617</v>
      </c>
      <c r="F147" s="1329" t="s">
        <v>957</v>
      </c>
      <c r="G147" s="1329" t="s">
        <v>958</v>
      </c>
      <c r="H147" s="1329" t="s">
        <v>3942</v>
      </c>
      <c r="I147" s="652"/>
      <c r="J147" s="652"/>
      <c r="K147" s="652"/>
      <c r="L147" s="653" t="str">
        <f t="shared" si="138"/>
        <v>3003</v>
      </c>
      <c r="M147" s="654" t="str">
        <f t="shared" si="139"/>
        <v>APPORT / RETRAIT</v>
      </c>
      <c r="N147" s="655">
        <f>+IF(OR($Q147=Parametres!$G$2,$Q147=Parametres!$G$3),I147,C147)</f>
        <v>-1723617</v>
      </c>
      <c r="O147" s="655">
        <f>+IF(OR($Q147=Parametres!$G$2,$Q147=Parametres!$G$3),J147,D147)</f>
        <v>0</v>
      </c>
      <c r="P147" s="655">
        <f>+IF(OR($Q147=Parametres!$G$2,$Q147=Parametres!$G$3),K147,E147)</f>
        <v>-1723617</v>
      </c>
      <c r="Q147" s="654" t="str">
        <f t="shared" si="140"/>
        <v>4-Valeur nette</v>
      </c>
      <c r="R147" s="653" t="str">
        <f t="shared" si="141"/>
        <v>3001</v>
      </c>
      <c r="S147" s="654" t="str">
        <f t="shared" si="142"/>
        <v>_</v>
      </c>
      <c r="T147" s="656" t="str">
        <f>+VLOOKUP($L147,Data_Validation!$A:$D,1,0)</f>
        <v>3003</v>
      </c>
      <c r="U147" s="656" t="str">
        <f>+VLOOKUP($L147,Data_Validation!$A:$D,3,0)</f>
        <v>Bilan</v>
      </c>
      <c r="V147" s="656" t="str">
        <f>+VLOOKUP($L147,Data_Validation!$A:$D,4,0)</f>
        <v>Apport</v>
      </c>
      <c r="W147" s="656" t="str">
        <f>+VLOOKUP($L147,Data_Validation!$A:$E,5,0)</f>
        <v>$</v>
      </c>
      <c r="X147" s="656">
        <f>+VLOOKUP($L147,Data_Validation!$A:$F,6,0)</f>
        <v>0</v>
      </c>
    </row>
    <row r="148" spans="1:24" ht="15" customHeight="1">
      <c r="A148" s="1329" t="s">
        <v>960</v>
      </c>
      <c r="B148" s="1329" t="s">
        <v>1771</v>
      </c>
      <c r="C148" s="1331">
        <v>-347547.5</v>
      </c>
      <c r="D148" s="1331">
        <v>0</v>
      </c>
      <c r="E148" s="1331">
        <v>-347547.5</v>
      </c>
      <c r="F148" s="1329" t="s">
        <v>957</v>
      </c>
      <c r="G148" s="1329" t="s">
        <v>958</v>
      </c>
      <c r="H148" s="1329" t="s">
        <v>3942</v>
      </c>
      <c r="I148" s="663"/>
      <c r="J148" s="663"/>
      <c r="K148" s="663"/>
      <c r="L148" s="653" t="str">
        <f t="shared" si="138"/>
        <v>3007</v>
      </c>
      <c r="M148" s="654" t="str">
        <f t="shared" si="139"/>
        <v>ACTIONS PARTICIPANTES</v>
      </c>
      <c r="N148" s="655">
        <f>+IF(OR($Q148=Parametres!$G$2,$Q148=Parametres!$G$3),I148,C148)</f>
        <v>-347547.5</v>
      </c>
      <c r="O148" s="655">
        <f>+IF(OR($Q148=Parametres!$G$2,$Q148=Parametres!$G$3),J148,D148)</f>
        <v>0</v>
      </c>
      <c r="P148" s="655">
        <f>+IF(OR($Q148=Parametres!$G$2,$Q148=Parametres!$G$3),K148,E148)</f>
        <v>-347547.5</v>
      </c>
      <c r="Q148" s="654" t="str">
        <f t="shared" si="140"/>
        <v>4-Valeur nette</v>
      </c>
      <c r="R148" s="653" t="str">
        <f t="shared" si="141"/>
        <v>3001</v>
      </c>
      <c r="S148" s="654" t="str">
        <f t="shared" si="142"/>
        <v>_</v>
      </c>
      <c r="T148" s="656" t="str">
        <f>+VLOOKUP($L148,Data_Validation!$A:$D,1,0)</f>
        <v>3007</v>
      </c>
      <c r="U148" s="656" t="str">
        <f>+VLOOKUP($L148,Data_Validation!$A:$D,3,0)</f>
        <v>Bilan</v>
      </c>
      <c r="V148" s="656" t="str">
        <f>+VLOOKUP($L148,Data_Validation!$A:$D,4,0)</f>
        <v>Capital Actions</v>
      </c>
      <c r="W148" s="656">
        <f>+VLOOKUP($L148,Data_Validation!$A:$E,5,0)</f>
        <v>0</v>
      </c>
      <c r="X148" s="656">
        <f>+VLOOKUP($L148,Data_Validation!$A:$F,6,0)</f>
        <v>0</v>
      </c>
    </row>
    <row r="149" spans="1:24" ht="15" customHeight="1">
      <c r="A149" s="1329" t="s">
        <v>961</v>
      </c>
      <c r="B149" s="1329" t="s">
        <v>1795</v>
      </c>
      <c r="C149" s="1331">
        <v>410359.41</v>
      </c>
      <c r="D149" s="1331">
        <v>3700563.44</v>
      </c>
      <c r="E149" s="1331">
        <v>4110922.85</v>
      </c>
      <c r="F149" s="1329" t="s">
        <v>957</v>
      </c>
      <c r="G149" s="1329" t="s">
        <v>958</v>
      </c>
      <c r="H149" s="1329" t="s">
        <v>3942</v>
      </c>
      <c r="I149" s="663"/>
      <c r="J149" s="663"/>
      <c r="K149" s="663"/>
      <c r="L149" s="653" t="str">
        <f t="shared" si="138"/>
        <v>3201</v>
      </c>
      <c r="M149" s="654" t="str">
        <f t="shared" si="139"/>
        <v>BENEFICES NON-REPARTIS</v>
      </c>
      <c r="N149" s="655">
        <f>+IF(OR($Q149=Parametres!$G$2,$Q149=Parametres!$G$3),I149,C149)</f>
        <v>410359.41</v>
      </c>
      <c r="O149" s="655">
        <f>+IF(OR($Q149=Parametres!$G$2,$Q149=Parametres!$G$3),J149,D149)</f>
        <v>3700563.44</v>
      </c>
      <c r="P149" s="655">
        <f>+IF(OR($Q149=Parametres!$G$2,$Q149=Parametres!$G$3),K149,E149)</f>
        <v>4110922.85</v>
      </c>
      <c r="Q149" s="654" t="str">
        <f t="shared" si="140"/>
        <v>4-Valeur nette</v>
      </c>
      <c r="R149" s="653" t="str">
        <f t="shared" si="141"/>
        <v>3001</v>
      </c>
      <c r="S149" s="654" t="str">
        <f t="shared" si="142"/>
        <v>_</v>
      </c>
      <c r="T149" s="656" t="str">
        <f>+VLOOKUP($L149,Data_Validation!$A:$D,1,0)</f>
        <v>3201</v>
      </c>
      <c r="U149" s="656" t="str">
        <f>+VLOOKUP($L149,Data_Validation!$A:$D,3,0)</f>
        <v>Bilan</v>
      </c>
      <c r="V149" s="656" t="str">
        <f>+VLOOKUP($L149,Data_Validation!$A:$D,4,0)</f>
        <v>Bénéfices non répartis</v>
      </c>
      <c r="W149" s="656" t="str">
        <f>+VLOOKUP($L149,Data_Validation!$A:$E,5,0)</f>
        <v>$</v>
      </c>
      <c r="X149" s="656">
        <f>+VLOOKUP($L149,Data_Validation!$A:$F,6,0)</f>
        <v>0</v>
      </c>
    </row>
    <row r="150" spans="1:24" ht="15" customHeight="1">
      <c r="A150" s="1329" t="s">
        <v>962</v>
      </c>
      <c r="B150" s="1329" t="s">
        <v>964</v>
      </c>
      <c r="C150" s="1331">
        <v>-209088.12</v>
      </c>
      <c r="D150" s="1331">
        <v>-157011.96</v>
      </c>
      <c r="E150" s="1331">
        <v>-366100.08</v>
      </c>
      <c r="F150" s="1329" t="s">
        <v>963</v>
      </c>
      <c r="G150" s="1329" t="s">
        <v>964</v>
      </c>
      <c r="H150" s="1329" t="s">
        <v>3942</v>
      </c>
      <c r="I150" s="652"/>
      <c r="J150" s="652"/>
      <c r="K150" s="652"/>
      <c r="L150" s="653" t="str">
        <f t="shared" si="138"/>
        <v>4100</v>
      </c>
      <c r="M150" s="654" t="str">
        <f t="shared" si="139"/>
        <v>VTE - RACHAT BAIL VW</v>
      </c>
      <c r="N150" s="655">
        <f>+IF(OR($Q150=Parametres!$G$2,$Q150=Parametres!$G$3),I150,C150)</f>
        <v>-209088.12</v>
      </c>
      <c r="O150" s="655">
        <f>+IF(OR($Q150=Parametres!$G$2,$Q150=Parametres!$G$3),J150,D150)</f>
        <v>-157011.96</v>
      </c>
      <c r="P150" s="655">
        <f>+IF(OR($Q150=Parametres!$G$2,$Q150=Parametres!$G$3),K150,E150)</f>
        <v>-366100.08</v>
      </c>
      <c r="Q150" s="654" t="str">
        <f t="shared" si="140"/>
        <v>5-Ventes</v>
      </c>
      <c r="R150" s="653" t="str">
        <f t="shared" si="141"/>
        <v>4100</v>
      </c>
      <c r="S150" s="654" t="str">
        <f t="shared" si="142"/>
        <v>_</v>
      </c>
      <c r="T150" s="656" t="str">
        <f>+VLOOKUP($L150,Data_Validation!$A:$D,1,0)</f>
        <v>4100</v>
      </c>
      <c r="U150" s="656" t="str">
        <f>+VLOOKUP($L150,Data_Validation!$A:$D,3,0)</f>
        <v>Véhicules neufs</v>
      </c>
      <c r="V150" s="656" t="str">
        <f>+VLOOKUP($L150,Data_Validation!$A:$D,4,0)</f>
        <v>Rachat bail</v>
      </c>
      <c r="W150" s="656" t="str">
        <f>+VLOOKUP($L150,Data_Validation!$A:$E,5,0)</f>
        <v>$</v>
      </c>
      <c r="X150" s="656" t="str">
        <f>+VLOOKUP($L150,Data_Validation!$A:$F,6,0)</f>
        <v>Oui</v>
      </c>
    </row>
    <row r="151" spans="1:24" ht="15.75" customHeight="1">
      <c r="A151" s="1329" t="s">
        <v>967</v>
      </c>
      <c r="B151" s="1329" t="s">
        <v>968</v>
      </c>
      <c r="C151" s="1331">
        <v>0</v>
      </c>
      <c r="D151" s="1331">
        <v>-58186</v>
      </c>
      <c r="E151" s="1331">
        <v>-58186</v>
      </c>
      <c r="F151" s="1329" t="s">
        <v>963</v>
      </c>
      <c r="G151" s="1329" t="s">
        <v>968</v>
      </c>
      <c r="H151" s="1329" t="s">
        <v>3942</v>
      </c>
      <c r="I151" s="652"/>
      <c r="J151" s="652"/>
      <c r="K151" s="652"/>
      <c r="L151" s="653" t="str">
        <f t="shared" si="138"/>
        <v>4109</v>
      </c>
      <c r="M151" s="654" t="str">
        <f t="shared" si="139"/>
        <v>VTE - GOLF R</v>
      </c>
      <c r="N151" s="655">
        <f>+IF(OR($Q151=Parametres!$G$2,$Q151=Parametres!$G$3),I151,C151)</f>
        <v>0</v>
      </c>
      <c r="O151" s="655">
        <f>+IF(OR($Q151=Parametres!$G$2,$Q151=Parametres!$G$3),J151,D151)</f>
        <v>-58186</v>
      </c>
      <c r="P151" s="655">
        <f>+IF(OR($Q151=Parametres!$G$2,$Q151=Parametres!$G$3),K151,E151)</f>
        <v>-58186</v>
      </c>
      <c r="Q151" s="654" t="str">
        <f t="shared" si="140"/>
        <v>5-Ventes</v>
      </c>
      <c r="R151" s="653" t="str">
        <f t="shared" si="141"/>
        <v>4109</v>
      </c>
      <c r="S151" s="654" t="str">
        <f t="shared" si="142"/>
        <v>_</v>
      </c>
      <c r="T151" s="656" t="str">
        <f>+VLOOKUP($L151,Data_Validation!$A:$D,1,0)</f>
        <v>4109</v>
      </c>
      <c r="U151" s="656" t="str">
        <f>+VLOOKUP($L151,Data_Validation!$A:$D,3,0)</f>
        <v>Véhicules neufs</v>
      </c>
      <c r="V151" s="656" t="str">
        <f>+VLOOKUP($L151,Data_Validation!$A:$D,4,0)</f>
        <v>Autos détail</v>
      </c>
      <c r="W151" s="656" t="str">
        <f>+VLOOKUP($L151,Data_Validation!$A:$E,5,0)</f>
        <v>$</v>
      </c>
      <c r="X151" s="656" t="str">
        <f>+VLOOKUP($L151,Data_Validation!$A:$F,6,0)</f>
        <v>Oui</v>
      </c>
    </row>
    <row r="152" spans="1:24" ht="15" customHeight="1">
      <c r="A152" s="1329" t="s">
        <v>971</v>
      </c>
      <c r="B152" s="1329" t="s">
        <v>972</v>
      </c>
      <c r="C152" s="1331">
        <v>-126902.38</v>
      </c>
      <c r="D152" s="1331">
        <v>-136516.12</v>
      </c>
      <c r="E152" s="1331">
        <v>-263418.5</v>
      </c>
      <c r="F152" s="1329" t="s">
        <v>963</v>
      </c>
      <c r="G152" s="1329" t="s">
        <v>972</v>
      </c>
      <c r="H152" s="1329" t="s">
        <v>3942</v>
      </c>
      <c r="I152" s="651"/>
      <c r="J152" s="651"/>
      <c r="K152" s="651"/>
      <c r="L152" s="653" t="str">
        <f t="shared" si="132"/>
        <v>4111</v>
      </c>
      <c r="M152" s="654" t="str">
        <f t="shared" si="0"/>
        <v>JETTA/ JETTA GLI</v>
      </c>
      <c r="N152" s="655">
        <f>+IF(OR($Q152=Parametres!$G$2,$Q152=Parametres!$G$3),I152,C152)</f>
        <v>-126902.38</v>
      </c>
      <c r="O152" s="655">
        <f>+IF(OR($Q152=Parametres!$G$2,$Q152=Parametres!$G$3),J152,D152)</f>
        <v>-136516.12</v>
      </c>
      <c r="P152" s="655">
        <f>+IF(OR($Q152=Parametres!$G$2,$Q152=Parametres!$G$3),K152,E152)</f>
        <v>-263418.5</v>
      </c>
      <c r="Q152" s="654" t="str">
        <f t="shared" ref="Q152:S152" si="143">+F152</f>
        <v>5-Ventes</v>
      </c>
      <c r="R152" s="653" t="str">
        <f t="shared" si="143"/>
        <v>4111</v>
      </c>
      <c r="S152" s="654" t="str">
        <f t="shared" si="143"/>
        <v>_</v>
      </c>
      <c r="T152" s="656" t="str">
        <f>+VLOOKUP($L152,Data_Validation!$A:$D,1,0)</f>
        <v>4111</v>
      </c>
      <c r="U152" s="656" t="str">
        <f>+VLOOKUP($L152,Data_Validation!$A:$D,3,0)</f>
        <v>Véhicules neufs</v>
      </c>
      <c r="V152" s="656" t="str">
        <f>+VLOOKUP($L152,Data_Validation!$A:$D,4,0)</f>
        <v>Autos détail</v>
      </c>
      <c r="W152" s="656" t="str">
        <f>+VLOOKUP($L152,Data_Validation!$A:$E,5,0)</f>
        <v>$</v>
      </c>
      <c r="X152" s="656" t="str">
        <f>+VLOOKUP($L152,Data_Validation!$A:$F,6,0)</f>
        <v>Oui</v>
      </c>
    </row>
    <row r="153" spans="1:24" ht="15" customHeight="1">
      <c r="A153" s="1329" t="s">
        <v>974</v>
      </c>
      <c r="B153" s="1329" t="s">
        <v>3379</v>
      </c>
      <c r="C153" s="1331">
        <v>-483795.98</v>
      </c>
      <c r="D153" s="1331">
        <v>-516583.6</v>
      </c>
      <c r="E153" s="1331">
        <v>-1000379.58</v>
      </c>
      <c r="F153" s="1329" t="s">
        <v>963</v>
      </c>
      <c r="G153" s="1329" t="s">
        <v>975</v>
      </c>
      <c r="H153" s="1329" t="s">
        <v>3942</v>
      </c>
      <c r="I153" s="652"/>
      <c r="J153" s="652"/>
      <c r="K153" s="652"/>
      <c r="L153" s="653" t="str">
        <f t="shared" si="132"/>
        <v>4118</v>
      </c>
      <c r="M153" s="654" t="str">
        <f t="shared" si="0"/>
        <v>VTES -TAOS</v>
      </c>
      <c r="N153" s="655">
        <f>+IF(OR($Q153=Parametres!$G$2,$Q153=Parametres!$G$3),I153,C153)</f>
        <v>-483795.98</v>
      </c>
      <c r="O153" s="655">
        <f>+IF(OR($Q153=Parametres!$G$2,$Q153=Parametres!$G$3),J153,D153)</f>
        <v>-516583.6</v>
      </c>
      <c r="P153" s="655">
        <f>+IF(OR($Q153=Parametres!$G$2,$Q153=Parametres!$G$3),K153,E153)</f>
        <v>-1000379.58</v>
      </c>
      <c r="Q153" s="654" t="str">
        <f t="shared" ref="Q153:S153" si="144">+F153</f>
        <v>5-Ventes</v>
      </c>
      <c r="R153" s="653" t="str">
        <f t="shared" si="144"/>
        <v>4117</v>
      </c>
      <c r="S153" s="654" t="str">
        <f t="shared" si="144"/>
        <v>_</v>
      </c>
      <c r="T153" s="656" t="str">
        <f>+VLOOKUP($L153,Data_Validation!$A:$D,1,0)</f>
        <v>4118</v>
      </c>
      <c r="U153" s="656" t="str">
        <f>+VLOOKUP($L153,Data_Validation!$A:$D,3,0)</f>
        <v>Véhicules neufs</v>
      </c>
      <c r="V153" s="656" t="str">
        <f>+VLOOKUP($L153,Data_Validation!$A:$D,4,0)</f>
        <v>Camions détail</v>
      </c>
      <c r="W153" s="656" t="str">
        <f>+VLOOKUP($L153,Data_Validation!$A:$E,5,0)</f>
        <v>$</v>
      </c>
      <c r="X153" s="656" t="str">
        <f>+VLOOKUP($L153,Data_Validation!$A:$F,6,0)</f>
        <v>Oui</v>
      </c>
    </row>
    <row r="154" spans="1:24" ht="15" customHeight="1">
      <c r="A154" s="1329" t="s">
        <v>979</v>
      </c>
      <c r="B154" s="1329" t="s">
        <v>980</v>
      </c>
      <c r="C154" s="1331">
        <v>-68097.95</v>
      </c>
      <c r="D154" s="1331">
        <v>-242395.72</v>
      </c>
      <c r="E154" s="1331">
        <v>-310493.67</v>
      </c>
      <c r="F154" s="1329" t="s">
        <v>963</v>
      </c>
      <c r="G154" s="1329" t="s">
        <v>980</v>
      </c>
      <c r="H154" s="1329" t="s">
        <v>3942</v>
      </c>
      <c r="I154" s="651"/>
      <c r="J154" s="651"/>
      <c r="K154" s="651"/>
      <c r="L154" s="653" t="str">
        <f t="shared" si="132"/>
        <v>4119</v>
      </c>
      <c r="M154" s="654" t="str">
        <f t="shared" si="0"/>
        <v>VTE - ATLAS</v>
      </c>
      <c r="N154" s="655">
        <f>+IF(OR($Q154=Parametres!$G$2,$Q154=Parametres!$G$3),I154,C154)</f>
        <v>-68097.95</v>
      </c>
      <c r="O154" s="655">
        <f>+IF(OR($Q154=Parametres!$G$2,$Q154=Parametres!$G$3),J154,D154)</f>
        <v>-242395.72</v>
      </c>
      <c r="P154" s="655">
        <f>+IF(OR($Q154=Parametres!$G$2,$Q154=Parametres!$G$3),K154,E154)</f>
        <v>-310493.67</v>
      </c>
      <c r="Q154" s="654" t="str">
        <f t="shared" ref="Q154:S154" si="145">+F154</f>
        <v>5-Ventes</v>
      </c>
      <c r="R154" s="653" t="str">
        <f t="shared" si="145"/>
        <v>4119</v>
      </c>
      <c r="S154" s="654" t="str">
        <f t="shared" si="145"/>
        <v>_</v>
      </c>
      <c r="T154" s="656" t="str">
        <f>+VLOOKUP($L154,Data_Validation!$A:$D,1,0)</f>
        <v>4119</v>
      </c>
      <c r="U154" s="656" t="str">
        <f>+VLOOKUP($L154,Data_Validation!$A:$D,3,0)</f>
        <v>Véhicules neufs</v>
      </c>
      <c r="V154" s="656" t="str">
        <f>+VLOOKUP($L154,Data_Validation!$A:$D,4,0)</f>
        <v>Camions détail</v>
      </c>
      <c r="W154" s="656" t="str">
        <f>+VLOOKUP($L154,Data_Validation!$A:$E,5,0)</f>
        <v>$</v>
      </c>
      <c r="X154" s="656" t="str">
        <f>+VLOOKUP($L154,Data_Validation!$A:$F,6,0)</f>
        <v>Oui</v>
      </c>
    </row>
    <row r="155" spans="1:24" ht="15.75" customHeight="1">
      <c r="A155" s="1329" t="s">
        <v>983</v>
      </c>
      <c r="B155" s="1329" t="s">
        <v>3348</v>
      </c>
      <c r="C155" s="1331">
        <v>0</v>
      </c>
      <c r="D155" s="1331">
        <v>-127544.62</v>
      </c>
      <c r="E155" s="1331">
        <v>-127544.62</v>
      </c>
      <c r="F155" s="1329" t="s">
        <v>963</v>
      </c>
      <c r="G155" s="1329" t="s">
        <v>3348</v>
      </c>
      <c r="H155" s="1329" t="s">
        <v>3942</v>
      </c>
      <c r="I155" s="652"/>
      <c r="J155" s="652"/>
      <c r="K155" s="652"/>
      <c r="L155" s="653" t="str">
        <f t="shared" si="132"/>
        <v>4121</v>
      </c>
      <c r="M155" s="654" t="str">
        <f t="shared" si="0"/>
        <v>VTES -VTE - ATLAS CROSS SPORT</v>
      </c>
      <c r="N155" s="655">
        <f>+IF(OR($Q155=Parametres!$G$2,$Q155=Parametres!$G$3),I155,C155)</f>
        <v>0</v>
      </c>
      <c r="O155" s="655">
        <f>+IF(OR($Q155=Parametres!$G$2,$Q155=Parametres!$G$3),J155,D155)</f>
        <v>-127544.62</v>
      </c>
      <c r="P155" s="655">
        <f>+IF(OR($Q155=Parametres!$G$2,$Q155=Parametres!$G$3),K155,E155)</f>
        <v>-127544.62</v>
      </c>
      <c r="Q155" s="654" t="str">
        <f t="shared" ref="Q155:S155" si="146">+F155</f>
        <v>5-Ventes</v>
      </c>
      <c r="R155" s="653" t="str">
        <f t="shared" si="146"/>
        <v>4121</v>
      </c>
      <c r="S155" s="654" t="str">
        <f t="shared" si="146"/>
        <v>_</v>
      </c>
      <c r="T155" s="656" t="str">
        <f>+VLOOKUP($L155,Data_Validation!$A:$D,1,0)</f>
        <v>4121</v>
      </c>
      <c r="U155" s="656" t="str">
        <f>+VLOOKUP($L155,Data_Validation!$A:$D,3,0)</f>
        <v>Véhicules neufs</v>
      </c>
      <c r="V155" s="656" t="str">
        <f>+VLOOKUP($L155,Data_Validation!$A:$D,4,0)</f>
        <v>Camions détail</v>
      </c>
      <c r="W155" s="656" t="str">
        <f>+VLOOKUP($L155,Data_Validation!$A:$E,5,0)</f>
        <v>$</v>
      </c>
      <c r="X155" s="656" t="str">
        <f>+VLOOKUP($L155,Data_Validation!$A:$F,6,0)</f>
        <v>oui</v>
      </c>
    </row>
    <row r="156" spans="1:24" ht="15" customHeight="1">
      <c r="A156" s="1329" t="s">
        <v>986</v>
      </c>
      <c r="B156" s="1329" t="s">
        <v>987</v>
      </c>
      <c r="C156" s="1331">
        <v>-131526.9</v>
      </c>
      <c r="D156" s="1331">
        <v>0</v>
      </c>
      <c r="E156" s="1331">
        <v>-131526.9</v>
      </c>
      <c r="F156" s="1329" t="s">
        <v>963</v>
      </c>
      <c r="G156" s="1329" t="s">
        <v>987</v>
      </c>
      <c r="H156" s="1329" t="s">
        <v>3942</v>
      </c>
      <c r="I156" s="651"/>
      <c r="J156" s="651"/>
      <c r="K156" s="651"/>
      <c r="L156" s="653" t="str">
        <f t="shared" si="132"/>
        <v>4127</v>
      </c>
      <c r="M156" s="654" t="str">
        <f t="shared" si="0"/>
        <v>VTE - GOLF GTI</v>
      </c>
      <c r="N156" s="655">
        <f>+IF(OR($Q156=Parametres!$G$2,$Q156=Parametres!$G$3),I156,C156)</f>
        <v>-131526.9</v>
      </c>
      <c r="O156" s="655">
        <f>+IF(OR($Q156=Parametres!$G$2,$Q156=Parametres!$G$3),J156,D156)</f>
        <v>0</v>
      </c>
      <c r="P156" s="655">
        <f>+IF(OR($Q156=Parametres!$G$2,$Q156=Parametres!$G$3),K156,E156)</f>
        <v>-131526.9</v>
      </c>
      <c r="Q156" s="654" t="str">
        <f t="shared" ref="Q156:S156" si="147">+F156</f>
        <v>5-Ventes</v>
      </c>
      <c r="R156" s="653" t="str">
        <f t="shared" si="147"/>
        <v>4127</v>
      </c>
      <c r="S156" s="654" t="str">
        <f t="shared" si="147"/>
        <v>_</v>
      </c>
      <c r="T156" s="656" t="str">
        <f>+VLOOKUP($L156,Data_Validation!$A:$D,1,0)</f>
        <v>4127</v>
      </c>
      <c r="U156" s="656" t="str">
        <f>+VLOOKUP($L156,Data_Validation!$A:$D,3,0)</f>
        <v>Véhicules neufs</v>
      </c>
      <c r="V156" s="656" t="str">
        <f>+VLOOKUP($L156,Data_Validation!$A:$D,4,0)</f>
        <v>Autos détail</v>
      </c>
      <c r="W156" s="656" t="str">
        <f>+VLOOKUP($L156,Data_Validation!$A:$E,5,0)</f>
        <v>$</v>
      </c>
      <c r="X156" s="656" t="str">
        <f>+VLOOKUP($L156,Data_Validation!$A:$F,6,0)</f>
        <v>Oui</v>
      </c>
    </row>
    <row r="157" spans="1:24" ht="15" customHeight="1">
      <c r="A157" s="1329" t="s">
        <v>990</v>
      </c>
      <c r="B157" s="1329" t="s">
        <v>991</v>
      </c>
      <c r="C157" s="1331">
        <v>-848668.38</v>
      </c>
      <c r="D157" s="1331">
        <v>-854833.34</v>
      </c>
      <c r="E157" s="1331">
        <v>-1703501.72</v>
      </c>
      <c r="F157" s="1329" t="s">
        <v>963</v>
      </c>
      <c r="G157" s="1329" t="s">
        <v>991</v>
      </c>
      <c r="H157" s="1329" t="s">
        <v>3942</v>
      </c>
      <c r="I157" s="652"/>
      <c r="J157" s="652"/>
      <c r="K157" s="652"/>
      <c r="L157" s="653" t="str">
        <f t="shared" si="132"/>
        <v>4131</v>
      </c>
      <c r="M157" s="654" t="str">
        <f t="shared" si="0"/>
        <v>VTE - TIGUAN LWB</v>
      </c>
      <c r="N157" s="655">
        <f>+IF(OR($Q157=Parametres!$G$2,$Q157=Parametres!$G$3),I157,C157)</f>
        <v>-848668.38</v>
      </c>
      <c r="O157" s="655">
        <f>+IF(OR($Q157=Parametres!$G$2,$Q157=Parametres!$G$3),J157,D157)</f>
        <v>-854833.34</v>
      </c>
      <c r="P157" s="655">
        <f>+IF(OR($Q157=Parametres!$G$2,$Q157=Parametres!$G$3),K157,E157)</f>
        <v>-1703501.72</v>
      </c>
      <c r="Q157" s="654" t="str">
        <f t="shared" ref="Q157:S157" si="148">+F157</f>
        <v>5-Ventes</v>
      </c>
      <c r="R157" s="653" t="str">
        <f t="shared" si="148"/>
        <v>4131</v>
      </c>
      <c r="S157" s="654" t="str">
        <f t="shared" si="148"/>
        <v>_</v>
      </c>
      <c r="T157" s="656" t="str">
        <f>+VLOOKUP($L157,Data_Validation!$A:$D,1,0)</f>
        <v>4131</v>
      </c>
      <c r="U157" s="656" t="str">
        <f>+VLOOKUP($L157,Data_Validation!$A:$D,3,0)</f>
        <v>Véhicules neufs</v>
      </c>
      <c r="V157" s="656" t="str">
        <f>+VLOOKUP($L157,Data_Validation!$A:$D,4,0)</f>
        <v>Camions détail</v>
      </c>
      <c r="W157" s="656" t="str">
        <f>+VLOOKUP($L157,Data_Validation!$A:$E,5,0)</f>
        <v>$</v>
      </c>
      <c r="X157" s="656" t="str">
        <f>+VLOOKUP($L157,Data_Validation!$A:$F,6,0)</f>
        <v>Oui</v>
      </c>
    </row>
    <row r="158" spans="1:24" ht="15" customHeight="1">
      <c r="A158" s="1329" t="s">
        <v>994</v>
      </c>
      <c r="B158" s="1329" t="s">
        <v>995</v>
      </c>
      <c r="C158" s="1331">
        <v>-231606.85</v>
      </c>
      <c r="D158" s="1331">
        <v>-274592.26</v>
      </c>
      <c r="E158" s="1331">
        <v>-506199.11</v>
      </c>
      <c r="F158" s="1329" t="s">
        <v>963</v>
      </c>
      <c r="G158" s="1329" t="s">
        <v>995</v>
      </c>
      <c r="H158" s="1329" t="s">
        <v>3942</v>
      </c>
      <c r="I158" s="663"/>
      <c r="J158" s="663"/>
      <c r="K158" s="663"/>
      <c r="L158" s="653" t="str">
        <f t="shared" si="132"/>
        <v>4137</v>
      </c>
      <c r="M158" s="654" t="str">
        <f t="shared" si="0"/>
        <v>VTE - VW-FLOTTE/VENTES ENTR/EMPLOYE/VEH DEMON</v>
      </c>
      <c r="N158" s="655">
        <f>+IF(OR($Q158=Parametres!$G$2,$Q158=Parametres!$G$3),I158,C158)</f>
        <v>-231606.85</v>
      </c>
      <c r="O158" s="655">
        <f>+IF(OR($Q158=Parametres!$G$2,$Q158=Parametres!$G$3),J158,D158)</f>
        <v>-274592.26</v>
      </c>
      <c r="P158" s="655">
        <f>+IF(OR($Q158=Parametres!$G$2,$Q158=Parametres!$G$3),K158,E158)</f>
        <v>-506199.11</v>
      </c>
      <c r="Q158" s="654" t="str">
        <f t="shared" ref="Q158:S158" si="149">+F158</f>
        <v>5-Ventes</v>
      </c>
      <c r="R158" s="653" t="str">
        <f t="shared" si="149"/>
        <v>4137</v>
      </c>
      <c r="S158" s="654" t="str">
        <f t="shared" si="149"/>
        <v>_</v>
      </c>
      <c r="T158" s="656" t="str">
        <f>+VLOOKUP($L158,Data_Validation!$A:$D,1,0)</f>
        <v>4137</v>
      </c>
      <c r="U158" s="656" t="str">
        <f>+VLOOKUP($L158,Data_Validation!$A:$D,3,0)</f>
        <v>Véhicules neufs</v>
      </c>
      <c r="V158" s="656" t="str">
        <f>+VLOOKUP($L158,Data_Validation!$A:$D,4,0)</f>
        <v>Flottes</v>
      </c>
      <c r="W158" s="656" t="str">
        <f>+VLOOKUP($L158,Data_Validation!$A:$E,5,0)</f>
        <v>$</v>
      </c>
      <c r="X158" s="656" t="str">
        <f>+VLOOKUP($L158,Data_Validation!$A:$F,6,0)</f>
        <v>Oui</v>
      </c>
    </row>
    <row r="159" spans="1:24" ht="15.75" customHeight="1">
      <c r="A159" s="1329" t="s">
        <v>998</v>
      </c>
      <c r="B159" s="1329" t="s">
        <v>999</v>
      </c>
      <c r="C159" s="1331">
        <v>-38424.199999999997</v>
      </c>
      <c r="D159" s="1331">
        <v>-58172.95</v>
      </c>
      <c r="E159" s="1331">
        <v>-96597.15</v>
      </c>
      <c r="F159" s="1329" t="s">
        <v>963</v>
      </c>
      <c r="G159" s="1329" t="s">
        <v>999</v>
      </c>
      <c r="H159" s="1329" t="s">
        <v>3942</v>
      </c>
      <c r="I159" s="664"/>
      <c r="J159" s="664"/>
      <c r="K159" s="664"/>
      <c r="L159" s="653" t="str">
        <f t="shared" si="132"/>
        <v>4139</v>
      </c>
      <c r="M159" s="654" t="str">
        <f t="shared" si="0"/>
        <v>VTE - VW FLOTTE/VENTE ENTR/EMPLOYE/VEH DEMONS</v>
      </c>
      <c r="N159" s="655">
        <f>+IF(OR($Q159=Parametres!$G$2,$Q159=Parametres!$G$3),I159,C159)</f>
        <v>-38424.199999999997</v>
      </c>
      <c r="O159" s="655">
        <f>+IF(OR($Q159=Parametres!$G$2,$Q159=Parametres!$G$3),J159,D159)</f>
        <v>-58172.95</v>
      </c>
      <c r="P159" s="655">
        <f>+IF(OR($Q159=Parametres!$G$2,$Q159=Parametres!$G$3),K159,E159)</f>
        <v>-96597.15</v>
      </c>
      <c r="Q159" s="654" t="str">
        <f t="shared" ref="Q159:S159" si="150">+F159</f>
        <v>5-Ventes</v>
      </c>
      <c r="R159" s="653" t="str">
        <f t="shared" si="150"/>
        <v>4139</v>
      </c>
      <c r="S159" s="654" t="str">
        <f t="shared" si="150"/>
        <v>_</v>
      </c>
      <c r="T159" s="656" t="str">
        <f>+VLOOKUP($L159,Data_Validation!$A:$D,1,0)</f>
        <v>4139</v>
      </c>
      <c r="U159" s="656" t="str">
        <f>+VLOOKUP($L159,Data_Validation!$A:$D,3,0)</f>
        <v>Véhicules neufs</v>
      </c>
      <c r="V159" s="656" t="str">
        <f>+VLOOKUP($L159,Data_Validation!$A:$D,4,0)</f>
        <v>Ex-Démos et courtoisies</v>
      </c>
      <c r="W159" s="656" t="str">
        <f>+VLOOKUP($L159,Data_Validation!$A:$E,5,0)</f>
        <v>$</v>
      </c>
      <c r="X159" s="656" t="str">
        <f>+VLOOKUP($L159,Data_Validation!$A:$F,6,0)</f>
        <v>Oui</v>
      </c>
    </row>
    <row r="160" spans="1:24" ht="15" customHeight="1">
      <c r="A160" s="1329" t="s">
        <v>1002</v>
      </c>
      <c r="B160" s="1329" t="s">
        <v>3380</v>
      </c>
      <c r="C160" s="1331">
        <v>-86698.74</v>
      </c>
      <c r="D160" s="1331">
        <v>0</v>
      </c>
      <c r="E160" s="1331">
        <v>-86698.74</v>
      </c>
      <c r="F160" s="1329" t="s">
        <v>963</v>
      </c>
      <c r="G160" s="1329" t="s">
        <v>1003</v>
      </c>
      <c r="H160" s="1329" t="s">
        <v>3942</v>
      </c>
      <c r="I160" s="663"/>
      <c r="J160" s="663"/>
      <c r="K160" s="663"/>
      <c r="L160" s="653" t="str">
        <f t="shared" si="132"/>
        <v>4144</v>
      </c>
      <c r="M160" s="654" t="str">
        <f t="shared" si="0"/>
        <v>VTES -JETTA GLI</v>
      </c>
      <c r="N160" s="655">
        <f>+IF(OR($Q160=Parametres!$G$2,$Q160=Parametres!$G$3),I160,C160)</f>
        <v>-86698.74</v>
      </c>
      <c r="O160" s="655">
        <f>+IF(OR($Q160=Parametres!$G$2,$Q160=Parametres!$G$3),J160,D160)</f>
        <v>0</v>
      </c>
      <c r="P160" s="655">
        <f>+IF(OR($Q160=Parametres!$G$2,$Q160=Parametres!$G$3),K160,E160)</f>
        <v>-86698.74</v>
      </c>
      <c r="Q160" s="654" t="str">
        <f t="shared" ref="Q160:S160" si="151">+F160</f>
        <v>5-Ventes</v>
      </c>
      <c r="R160" s="653" t="str">
        <f t="shared" si="151"/>
        <v>414</v>
      </c>
      <c r="S160" s="654" t="str">
        <f t="shared" si="151"/>
        <v>_</v>
      </c>
      <c r="T160" s="656" t="str">
        <f>+VLOOKUP($L160,Data_Validation!$A:$D,1,0)</f>
        <v>4144</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329" t="s">
        <v>1006</v>
      </c>
      <c r="B161" s="1329" t="s">
        <v>1007</v>
      </c>
      <c r="C161" s="1331">
        <v>-926979.14</v>
      </c>
      <c r="D161" s="1331">
        <v>-428530.97</v>
      </c>
      <c r="E161" s="1331">
        <v>-1355510.11</v>
      </c>
      <c r="F161" s="1329" t="s">
        <v>963</v>
      </c>
      <c r="G161" s="1329" t="s">
        <v>1007</v>
      </c>
      <c r="H161" s="1329" t="s">
        <v>3942</v>
      </c>
      <c r="I161" s="664"/>
      <c r="J161" s="664"/>
      <c r="K161" s="664"/>
      <c r="L161" s="653" t="str">
        <f t="shared" si="132"/>
        <v>4201</v>
      </c>
      <c r="M161" s="654" t="str">
        <f t="shared" si="0"/>
        <v>VTE - VEH.USAGE VW DETAIL CERTIFIE</v>
      </c>
      <c r="N161" s="655">
        <f>+IF(OR($Q161=Parametres!$G$2,$Q161=Parametres!$G$3),I161,C161)</f>
        <v>-926979.14</v>
      </c>
      <c r="O161" s="655">
        <f>+IF(OR($Q161=Parametres!$G$2,$Q161=Parametres!$G$3),J161,D161)</f>
        <v>-428530.97</v>
      </c>
      <c r="P161" s="655">
        <f>+IF(OR($Q161=Parametres!$G$2,$Q161=Parametres!$G$3),K161,E161)</f>
        <v>-1355510.11</v>
      </c>
      <c r="Q161" s="654" t="str">
        <f t="shared" ref="Q161:S161" si="152">+F161</f>
        <v>5-Ventes</v>
      </c>
      <c r="R161" s="653" t="str">
        <f t="shared" si="152"/>
        <v>4201</v>
      </c>
      <c r="S161" s="654" t="str">
        <f t="shared" si="152"/>
        <v>_</v>
      </c>
      <c r="T161" s="656" t="str">
        <f>+VLOOKUP($L161,Data_Validation!$A:$D,1,0)</f>
        <v>4201</v>
      </c>
      <c r="U161" s="656" t="str">
        <f>+VLOOKUP($L161,Data_Validation!$A:$D,3,0)</f>
        <v>Véhicules usagés</v>
      </c>
      <c r="V161" s="656" t="str">
        <f>+VLOOKUP($L161,Data_Validation!$A:$D,4,0)</f>
        <v>Certifié</v>
      </c>
      <c r="W161" s="656" t="str">
        <f>+VLOOKUP($L161,Data_Validation!$A:$E,5,0)</f>
        <v>$</v>
      </c>
      <c r="X161" s="656" t="str">
        <f>+VLOOKUP($L161,Data_Validation!$A:$F,6,0)</f>
        <v>Oui</v>
      </c>
    </row>
    <row r="162" spans="1:24" ht="15" customHeight="1">
      <c r="A162" s="1329" t="s">
        <v>1014</v>
      </c>
      <c r="B162" s="1329" t="s">
        <v>1933</v>
      </c>
      <c r="C162" s="1331">
        <v>-66047.3</v>
      </c>
      <c r="D162" s="1331">
        <v>-15607.5</v>
      </c>
      <c r="E162" s="1331">
        <v>-81654.8</v>
      </c>
      <c r="F162" s="1329" t="s">
        <v>963</v>
      </c>
      <c r="G162" s="1329" t="s">
        <v>1015</v>
      </c>
      <c r="H162" s="1329" t="s">
        <v>3942</v>
      </c>
      <c r="I162" s="652"/>
      <c r="J162" s="652"/>
      <c r="K162" s="652"/>
      <c r="L162" s="653" t="str">
        <f t="shared" si="132"/>
        <v>4285</v>
      </c>
      <c r="M162" s="654" t="str">
        <f t="shared" si="0"/>
        <v>VEH. D'OCC. AUTRE DETAIL</v>
      </c>
      <c r="N162" s="655">
        <f>+IF(OR($Q162=Parametres!$G$2,$Q162=Parametres!$G$3),I162,C162)</f>
        <v>-66047.3</v>
      </c>
      <c r="O162" s="655">
        <f>+IF(OR($Q162=Parametres!$G$2,$Q162=Parametres!$G$3),J162,D162)</f>
        <v>-15607.5</v>
      </c>
      <c r="P162" s="655">
        <f>+IF(OR($Q162=Parametres!$G$2,$Q162=Parametres!$G$3),K162,E162)</f>
        <v>-81654.8</v>
      </c>
      <c r="Q162" s="654" t="str">
        <f t="shared" ref="Q162:S162" si="153">+F162</f>
        <v>5-Ventes</v>
      </c>
      <c r="R162" s="653" t="str">
        <f t="shared" si="153"/>
        <v>4261</v>
      </c>
      <c r="S162" s="654" t="str">
        <f t="shared" si="153"/>
        <v>_</v>
      </c>
      <c r="T162" s="656" t="str">
        <f>+VLOOKUP($L162,Data_Validation!$A:$D,1,0)</f>
        <v>4285</v>
      </c>
      <c r="U162" s="656" t="str">
        <f>+VLOOKUP($L162,Data_Validation!$A:$D,3,0)</f>
        <v>Véhicules usagés</v>
      </c>
      <c r="V162" s="656" t="str">
        <f>+VLOOKUP($L162,Data_Validation!$A:$D,4,0)</f>
        <v>Autres Marques</v>
      </c>
      <c r="W162" s="656" t="str">
        <f>+VLOOKUP($L162,Data_Validation!$A:$E,5,0)</f>
        <v>$</v>
      </c>
      <c r="X162" s="656" t="str">
        <f>+VLOOKUP($L162,Data_Validation!$A:$F,6,0)</f>
        <v>Oui</v>
      </c>
    </row>
    <row r="163" spans="1:24" ht="15.75" customHeight="1">
      <c r="A163" s="1329" t="s">
        <v>1018</v>
      </c>
      <c r="B163" s="1329" t="s">
        <v>1942</v>
      </c>
      <c r="C163" s="1331">
        <v>-173797</v>
      </c>
      <c r="D163" s="1331">
        <v>-251060</v>
      </c>
      <c r="E163" s="1331">
        <v>-424857</v>
      </c>
      <c r="F163" s="1329" t="s">
        <v>963</v>
      </c>
      <c r="G163" s="1329" t="s">
        <v>1019</v>
      </c>
      <c r="H163" s="1329" t="s">
        <v>3942</v>
      </c>
      <c r="I163" s="660"/>
      <c r="J163" s="651"/>
      <c r="K163" s="660"/>
      <c r="L163" s="653" t="str">
        <f t="shared" si="132"/>
        <v>4291</v>
      </c>
      <c r="M163" s="654" t="str">
        <f t="shared" si="0"/>
        <v>VEH. D'OCC. AU GROS</v>
      </c>
      <c r="N163" s="655">
        <f>+IF(OR($Q163=Parametres!$G$2,$Q163=Parametres!$G$3),I163,C163)</f>
        <v>-173797</v>
      </c>
      <c r="O163" s="655">
        <f>+IF(OR($Q163=Parametres!$G$2,$Q163=Parametres!$G$3),J163,D163)</f>
        <v>-251060</v>
      </c>
      <c r="P163" s="655">
        <f>+IF(OR($Q163=Parametres!$G$2,$Q163=Parametres!$G$3),K163,E163)</f>
        <v>-424857</v>
      </c>
      <c r="Q163" s="654" t="str">
        <f t="shared" ref="Q163:S163" si="154">+F163</f>
        <v>5-Ventes</v>
      </c>
      <c r="R163" s="653" t="str">
        <f t="shared" si="154"/>
        <v>4281</v>
      </c>
      <c r="S163" s="654" t="str">
        <f t="shared" si="154"/>
        <v>_</v>
      </c>
      <c r="T163" s="656" t="str">
        <f>+VLOOKUP($L163,Data_Validation!$A:$D,1,0)</f>
        <v>4291</v>
      </c>
      <c r="U163" s="656" t="str">
        <f>+VLOOKUP($L163,Data_Validation!$A:$D,3,0)</f>
        <v>Véhicules usagés</v>
      </c>
      <c r="V163" s="656" t="str">
        <f>+VLOOKUP($L163,Data_Validation!$A:$D,4,0)</f>
        <v>Ventes au Gros</v>
      </c>
      <c r="W163" s="656" t="str">
        <f>+VLOOKUP($L163,Data_Validation!$A:$E,5,0)</f>
        <v>$</v>
      </c>
      <c r="X163" s="656" t="str">
        <f>+VLOOKUP($L163,Data_Validation!$A:$F,6,0)</f>
        <v>Oui</v>
      </c>
    </row>
    <row r="164" spans="1:24" ht="15" customHeight="1">
      <c r="A164" s="1329" t="s">
        <v>3670</v>
      </c>
      <c r="B164" s="1329" t="s">
        <v>1023</v>
      </c>
      <c r="C164" s="1331">
        <v>-111694.92</v>
      </c>
      <c r="D164" s="1331">
        <v>-95724.06</v>
      </c>
      <c r="E164" s="1331">
        <v>-207418.98</v>
      </c>
      <c r="F164" s="1329" t="s">
        <v>963</v>
      </c>
      <c r="G164" s="1329" t="s">
        <v>1023</v>
      </c>
      <c r="H164" s="1329" t="s">
        <v>3942</v>
      </c>
      <c r="I164" s="651"/>
      <c r="J164" s="651"/>
      <c r="K164" s="651"/>
      <c r="L164" s="653" t="str">
        <f t="shared" si="132"/>
        <v>4401</v>
      </c>
      <c r="M164" s="654" t="str">
        <f t="shared" si="0"/>
        <v>MAIN-D'OEUVRE - CLIENT VW - MCI</v>
      </c>
      <c r="N164" s="655">
        <f>+IF(OR($Q164=Parametres!$G$2,$Q164=Parametres!$G$3),I164,C164)</f>
        <v>-111694.92</v>
      </c>
      <c r="O164" s="655">
        <f>+IF(OR($Q164=Parametres!$G$2,$Q164=Parametres!$G$3),J164,D164)</f>
        <v>-95724.06</v>
      </c>
      <c r="P164" s="655">
        <f>+IF(OR($Q164=Parametres!$G$2,$Q164=Parametres!$G$3),K164,E164)</f>
        <v>-207418.98</v>
      </c>
      <c r="Q164" s="654" t="str">
        <f t="shared" ref="Q164:S164" si="155">+F164</f>
        <v>5-Ventes</v>
      </c>
      <c r="R164" s="653" t="str">
        <f t="shared" si="155"/>
        <v>4401</v>
      </c>
      <c r="S164" s="654" t="str">
        <f t="shared" si="155"/>
        <v>_</v>
      </c>
      <c r="T164" s="656" t="str">
        <f>+VLOOKUP($L164,Data_Validation!$A:$D,1,0)</f>
        <v>4401</v>
      </c>
      <c r="U164" s="656" t="str">
        <f>+VLOOKUP($L164,Data_Validation!$A:$D,3,0)</f>
        <v>Service</v>
      </c>
      <c r="V164" s="656" t="str">
        <f>+VLOOKUP($L164,Data_Validation!$A:$D,4,0)</f>
        <v>M/O Client</v>
      </c>
      <c r="W164" s="656" t="str">
        <f>+VLOOKUP($L164,Data_Validation!$A:$E,5,0)</f>
        <v>$</v>
      </c>
      <c r="X164" s="656" t="str">
        <f>+VLOOKUP($L164,Data_Validation!$A:$F,6,0)</f>
        <v>Oui</v>
      </c>
    </row>
    <row r="165" spans="1:24" ht="15" customHeight="1">
      <c r="A165" s="1329" t="s">
        <v>1025</v>
      </c>
      <c r="B165" s="1329" t="s">
        <v>1026</v>
      </c>
      <c r="C165" s="1331">
        <v>-8181.18</v>
      </c>
      <c r="D165" s="1331">
        <v>-4694.12</v>
      </c>
      <c r="E165" s="1331">
        <v>-12875.3</v>
      </c>
      <c r="F165" s="1329" t="s">
        <v>963</v>
      </c>
      <c r="G165" s="1329" t="s">
        <v>1026</v>
      </c>
      <c r="H165" s="1329" t="s">
        <v>3942</v>
      </c>
      <c r="I165" s="660"/>
      <c r="J165" s="660"/>
      <c r="K165" s="660"/>
      <c r="L165" s="653" t="str">
        <f t="shared" si="132"/>
        <v>4402</v>
      </c>
      <c r="M165" s="654" t="str">
        <f t="shared" si="0"/>
        <v>VTE - M.O. ESTHETIQUE CLIENT</v>
      </c>
      <c r="N165" s="655">
        <f>+IF(OR($Q165=Parametres!$G$2,$Q165=Parametres!$G$3),I165,C165)</f>
        <v>-8181.18</v>
      </c>
      <c r="O165" s="655">
        <f>+IF(OR($Q165=Parametres!$G$2,$Q165=Parametres!$G$3),J165,D165)</f>
        <v>-4694.12</v>
      </c>
      <c r="P165" s="655">
        <f>+IF(OR($Q165=Parametres!$G$2,$Q165=Parametres!$G$3),K165,E165)</f>
        <v>-12875.3</v>
      </c>
      <c r="Q165" s="654" t="str">
        <f t="shared" ref="Q165:S165" si="156">+F165</f>
        <v>5-Ventes</v>
      </c>
      <c r="R165" s="653" t="str">
        <f t="shared" si="156"/>
        <v>4402</v>
      </c>
      <c r="S165" s="654" t="str">
        <f t="shared" si="156"/>
        <v>_</v>
      </c>
      <c r="T165" s="656" t="str">
        <f>+VLOOKUP($L165,Data_Validation!$A:$D,1,0)</f>
        <v>4402</v>
      </c>
      <c r="U165" s="656" t="str">
        <f>+VLOOKUP($L165,Data_Validation!$A:$D,3,0)</f>
        <v>Service</v>
      </c>
      <c r="V165" s="656" t="str">
        <f>+VLOOKUP($L165,Data_Validation!$A:$D,4,0)</f>
        <v>M/O Esthétique</v>
      </c>
      <c r="W165" s="656" t="str">
        <f>+VLOOKUP($L165,Data_Validation!$A:$E,5,0)</f>
        <v>$</v>
      </c>
      <c r="X165" s="656" t="str">
        <f>+VLOOKUP($L165,Data_Validation!$A:$F,6,0)</f>
        <v>Oui</v>
      </c>
    </row>
    <row r="166" spans="1:24" ht="15" customHeight="1">
      <c r="A166" s="1329" t="s">
        <v>3671</v>
      </c>
      <c r="B166" s="1329" t="s">
        <v>1028</v>
      </c>
      <c r="C166" s="1331">
        <v>-71303.28</v>
      </c>
      <c r="D166" s="1331">
        <v>-68361.63</v>
      </c>
      <c r="E166" s="1331">
        <v>-139664.91</v>
      </c>
      <c r="F166" s="1329" t="s">
        <v>963</v>
      </c>
      <c r="G166" s="1329" t="s">
        <v>1028</v>
      </c>
      <c r="H166" s="1329" t="s">
        <v>3942</v>
      </c>
      <c r="I166" s="665"/>
      <c r="J166" s="665"/>
      <c r="K166" s="665"/>
      <c r="L166" s="653" t="str">
        <f t="shared" si="132"/>
        <v>4403</v>
      </c>
      <c r="M166" s="654" t="str">
        <f t="shared" si="0"/>
        <v>MAIN-D'OEUVRE - GARANTIE VW - MCI</v>
      </c>
      <c r="N166" s="655">
        <f>+IF(OR($Q166=Parametres!$G$2,$Q166=Parametres!$G$3),I166,C166)</f>
        <v>-71303.28</v>
      </c>
      <c r="O166" s="655">
        <f>+IF(OR($Q166=Parametres!$G$2,$Q166=Parametres!$G$3),J166,D166)</f>
        <v>-68361.63</v>
      </c>
      <c r="P166" s="655">
        <f>+IF(OR($Q166=Parametres!$G$2,$Q166=Parametres!$G$3),K166,E166)</f>
        <v>-139664.91</v>
      </c>
      <c r="Q166" s="654" t="str">
        <f t="shared" ref="Q166:S166" si="157">+F166</f>
        <v>5-Ventes</v>
      </c>
      <c r="R166" s="653" t="str">
        <f t="shared" si="157"/>
        <v>4403</v>
      </c>
      <c r="S166" s="654" t="str">
        <f t="shared" si="157"/>
        <v>_</v>
      </c>
      <c r="T166" s="656" t="str">
        <f>+VLOOKUP($L166,Data_Validation!$A:$D,1,0)</f>
        <v>4403</v>
      </c>
      <c r="U166" s="656" t="str">
        <f>+VLOOKUP($L166,Data_Validation!$A:$D,3,0)</f>
        <v>Service</v>
      </c>
      <c r="V166" s="656" t="str">
        <f>+VLOOKUP($L166,Data_Validation!$A:$D,4,0)</f>
        <v>M/O Garantie</v>
      </c>
      <c r="W166" s="656" t="str">
        <f>+VLOOKUP($L166,Data_Validation!$A:$E,5,0)</f>
        <v>$</v>
      </c>
      <c r="X166" s="656" t="str">
        <f>+VLOOKUP($L166,Data_Validation!$A:$F,6,0)</f>
        <v>Oui</v>
      </c>
    </row>
    <row r="167" spans="1:24" ht="15" customHeight="1">
      <c r="A167" s="1329" t="s">
        <v>3672</v>
      </c>
      <c r="B167" s="1329" t="s">
        <v>1031</v>
      </c>
      <c r="C167" s="1331">
        <v>-74416.72</v>
      </c>
      <c r="D167" s="1331">
        <v>-95338.78</v>
      </c>
      <c r="E167" s="1331">
        <v>-169755.5</v>
      </c>
      <c r="F167" s="1329" t="s">
        <v>963</v>
      </c>
      <c r="G167" s="1329" t="s">
        <v>1031</v>
      </c>
      <c r="H167" s="1329" t="s">
        <v>3942</v>
      </c>
      <c r="I167" s="665"/>
      <c r="J167" s="665"/>
      <c r="K167" s="665"/>
      <c r="L167" s="653" t="str">
        <f t="shared" si="132"/>
        <v>4405</v>
      </c>
      <c r="M167" s="654" t="str">
        <f t="shared" si="0"/>
        <v>MAIN-D'OEUVRE - INTERNE VW - MCI</v>
      </c>
      <c r="N167" s="655">
        <f>+IF(OR($Q167=Parametres!$G$2,$Q167=Parametres!$G$3),I167,C167)</f>
        <v>-74416.72</v>
      </c>
      <c r="O167" s="655">
        <f>+IF(OR($Q167=Parametres!$G$2,$Q167=Parametres!$G$3),J167,D167)</f>
        <v>-95338.78</v>
      </c>
      <c r="P167" s="655">
        <f>+IF(OR($Q167=Parametres!$G$2,$Q167=Parametres!$G$3),K167,E167)</f>
        <v>-169755.5</v>
      </c>
      <c r="Q167" s="654" t="str">
        <f t="shared" ref="Q167:S167" si="158">+F167</f>
        <v>5-Ventes</v>
      </c>
      <c r="R167" s="653" t="str">
        <f t="shared" si="158"/>
        <v>4405</v>
      </c>
      <c r="S167" s="654" t="str">
        <f t="shared" si="158"/>
        <v>_</v>
      </c>
      <c r="T167" s="656" t="str">
        <f>+VLOOKUP($L167,Data_Validation!$A:$D,1,0)</f>
        <v>4405</v>
      </c>
      <c r="U167" s="656" t="str">
        <f>+VLOOKUP($L167,Data_Validation!$A:$D,3,0)</f>
        <v>Service</v>
      </c>
      <c r="V167" s="656" t="str">
        <f>+VLOOKUP($L167,Data_Validation!$A:$D,4,0)</f>
        <v>M/O Interne</v>
      </c>
      <c r="W167" s="656" t="str">
        <f>+VLOOKUP($L167,Data_Validation!$A:$E,5,0)</f>
        <v>$</v>
      </c>
      <c r="X167" s="656" t="str">
        <f>+VLOOKUP($L167,Data_Validation!$A:$F,6,0)</f>
        <v>Oui</v>
      </c>
    </row>
    <row r="168" spans="1:24" ht="15.75" customHeight="1">
      <c r="A168" s="1329" t="s">
        <v>1033</v>
      </c>
      <c r="B168" s="1329" t="s">
        <v>1974</v>
      </c>
      <c r="C168" s="1331">
        <v>-15587.79</v>
      </c>
      <c r="D168" s="1331">
        <v>-16396.48</v>
      </c>
      <c r="E168" s="1331">
        <v>-31984.27</v>
      </c>
      <c r="F168" s="1329" t="s">
        <v>963</v>
      </c>
      <c r="G168" s="1329" t="s">
        <v>1034</v>
      </c>
      <c r="H168" s="1329" t="s">
        <v>3942</v>
      </c>
      <c r="I168" s="665"/>
      <c r="J168" s="665"/>
      <c r="K168" s="665"/>
      <c r="L168" s="653" t="str">
        <f t="shared" si="132"/>
        <v>4451</v>
      </c>
      <c r="M168" s="654" t="str">
        <f t="shared" si="0"/>
        <v>CARBURANT/HUILE/GRAISSE</v>
      </c>
      <c r="N168" s="655">
        <f>+IF(OR($Q168=Parametres!$G$2,$Q168=Parametres!$G$3),I168,C168)</f>
        <v>-15587.79</v>
      </c>
      <c r="O168" s="655">
        <f>+IF(OR($Q168=Parametres!$G$2,$Q168=Parametres!$G$3),J168,D168)</f>
        <v>-16396.48</v>
      </c>
      <c r="P168" s="655">
        <f>+IF(OR($Q168=Parametres!$G$2,$Q168=Parametres!$G$3),K168,E168)</f>
        <v>-31984.27</v>
      </c>
      <c r="Q168" s="654" t="str">
        <f t="shared" ref="Q168:S168" si="159">+F168</f>
        <v>5-Ventes</v>
      </c>
      <c r="R168" s="653" t="str">
        <f t="shared" si="159"/>
        <v>4782</v>
      </c>
      <c r="S168" s="654" t="str">
        <f t="shared" si="159"/>
        <v>_</v>
      </c>
      <c r="T168" s="656" t="str">
        <f>+VLOOKUP($L168,Data_Validation!$A:$D,1,0)</f>
        <v>4451</v>
      </c>
      <c r="U168" s="656" t="str">
        <f>+VLOOKUP($L168,Data_Validation!$A:$D,3,0)</f>
        <v>Pièces</v>
      </c>
      <c r="V168" s="656" t="str">
        <f>+VLOOKUP($L168,Data_Validation!$A:$D,4,0)</f>
        <v>Huiles et Graisse</v>
      </c>
      <c r="W168" s="656" t="str">
        <f>+VLOOKUP($L168,Data_Validation!$A:$E,5,0)</f>
        <v>$</v>
      </c>
      <c r="X168" s="656" t="str">
        <f>+VLOOKUP($L168,Data_Validation!$A:$F,6,0)</f>
        <v>Oui</v>
      </c>
    </row>
    <row r="169" spans="1:24" ht="15" customHeight="1">
      <c r="A169" s="1329" t="s">
        <v>1036</v>
      </c>
      <c r="B169" s="1329" t="s">
        <v>1037</v>
      </c>
      <c r="C169" s="1331">
        <v>-5778.85</v>
      </c>
      <c r="D169" s="1331">
        <v>-6100.18</v>
      </c>
      <c r="E169" s="1331">
        <v>-11879.03</v>
      </c>
      <c r="F169" s="1329" t="s">
        <v>963</v>
      </c>
      <c r="G169" s="1329" t="s">
        <v>1037</v>
      </c>
      <c r="H169" s="1329" t="s">
        <v>3942</v>
      </c>
      <c r="I169" s="666"/>
      <c r="J169" s="666"/>
      <c r="K169" s="666"/>
      <c r="L169" s="653" t="str">
        <f t="shared" si="132"/>
        <v>4491</v>
      </c>
      <c r="M169" s="654" t="str">
        <f t="shared" si="0"/>
        <v>REPARATION SOUS-LOC. - GENERAL</v>
      </c>
      <c r="N169" s="655">
        <f>+IF(OR($Q169=Parametres!$G$2,$Q169=Parametres!$G$3),I169,C169)</f>
        <v>-5778.85</v>
      </c>
      <c r="O169" s="655">
        <f>+IF(OR($Q169=Parametres!$G$2,$Q169=Parametres!$G$3),J169,D169)</f>
        <v>-6100.18</v>
      </c>
      <c r="P169" s="655">
        <f>+IF(OR($Q169=Parametres!$G$2,$Q169=Parametres!$G$3),K169,E169)</f>
        <v>-11879.03</v>
      </c>
      <c r="Q169" s="654" t="str">
        <f t="shared" ref="Q169:S169" si="160">+F169</f>
        <v>5-Ventes</v>
      </c>
      <c r="R169" s="653" t="str">
        <f t="shared" si="160"/>
        <v>4491</v>
      </c>
      <c r="S169" s="654" t="str">
        <f t="shared" si="160"/>
        <v>_</v>
      </c>
      <c r="T169" s="656" t="str">
        <f>+VLOOKUP($L169,Data_Validation!$A:$D,1,0)</f>
        <v>4491</v>
      </c>
      <c r="U169" s="656" t="str">
        <f>+VLOOKUP($L169,Data_Validation!$A:$D,3,0)</f>
        <v>Service</v>
      </c>
      <c r="V169" s="656" t="str">
        <f>+VLOOKUP($L169,Data_Validation!$A:$D,4,0)</f>
        <v>Sous-traitement</v>
      </c>
      <c r="W169" s="656" t="str">
        <f>+VLOOKUP($L169,Data_Validation!$A:$E,5,0)</f>
        <v>$</v>
      </c>
      <c r="X169" s="656" t="str">
        <f>+VLOOKUP($L169,Data_Validation!$A:$F,6,0)</f>
        <v>Oui</v>
      </c>
    </row>
    <row r="170" spans="1:24" ht="15" customHeight="1">
      <c r="A170" s="1329" t="s">
        <v>1043</v>
      </c>
      <c r="B170" s="1329" t="s">
        <v>1044</v>
      </c>
      <c r="C170" s="1331">
        <v>-12789.25</v>
      </c>
      <c r="D170" s="1331">
        <v>-3783</v>
      </c>
      <c r="E170" s="1331">
        <v>-16572.25</v>
      </c>
      <c r="F170" s="1329" t="s">
        <v>963</v>
      </c>
      <c r="G170" s="1329" t="s">
        <v>1044</v>
      </c>
      <c r="H170" s="1329" t="s">
        <v>3942</v>
      </c>
      <c r="I170" s="666"/>
      <c r="J170" s="666"/>
      <c r="K170" s="666"/>
      <c r="L170" s="653" t="str">
        <f t="shared" si="132"/>
        <v>4495</v>
      </c>
      <c r="M170" s="654" t="str">
        <f t="shared" si="0"/>
        <v>VTE - S-TRAITANCE MEC.INTERNE VW</v>
      </c>
      <c r="N170" s="655">
        <f>+IF(OR($Q170=Parametres!$G$2,$Q170=Parametres!$G$3),I170,C170)</f>
        <v>-12789.25</v>
      </c>
      <c r="O170" s="655">
        <f>+IF(OR($Q170=Parametres!$G$2,$Q170=Parametres!$G$3),J170,D170)</f>
        <v>-3783</v>
      </c>
      <c r="P170" s="655">
        <f>+IF(OR($Q170=Parametres!$G$2,$Q170=Parametres!$G$3),K170,E170)</f>
        <v>-16572.25</v>
      </c>
      <c r="Q170" s="654" t="str">
        <f t="shared" ref="Q170:S170" si="161">+F170</f>
        <v>5-Ventes</v>
      </c>
      <c r="R170" s="653" t="str">
        <f t="shared" si="161"/>
        <v>4495</v>
      </c>
      <c r="S170" s="654" t="str">
        <f t="shared" si="161"/>
        <v>_</v>
      </c>
      <c r="T170" s="656" t="str">
        <f>+VLOOKUP($L170,Data_Validation!$A:$D,1,0)</f>
        <v>4495</v>
      </c>
      <c r="U170" s="656" t="str">
        <f>+VLOOKUP($L170,Data_Validation!$A:$D,3,0)</f>
        <v>Service</v>
      </c>
      <c r="V170" s="656" t="str">
        <f>+VLOOKUP($L170,Data_Validation!$A:$D,4,0)</f>
        <v>Sous-traitement</v>
      </c>
      <c r="W170" s="656" t="str">
        <f>+VLOOKUP($L170,Data_Validation!$A:$E,5,0)</f>
        <v>$</v>
      </c>
      <c r="X170" s="656" t="str">
        <f>+VLOOKUP($L170,Data_Validation!$A:$F,6,0)</f>
        <v>Oui</v>
      </c>
    </row>
    <row r="171" spans="1:24" ht="15" customHeight="1">
      <c r="A171" s="1329" t="s">
        <v>3425</v>
      </c>
      <c r="B171" s="1329" t="s">
        <v>3426</v>
      </c>
      <c r="C171" s="1331">
        <v>-4919.7</v>
      </c>
      <c r="D171" s="1331">
        <v>-4094.9</v>
      </c>
      <c r="E171" s="1331">
        <v>-9014.6</v>
      </c>
      <c r="F171" s="1329" t="s">
        <v>963</v>
      </c>
      <c r="G171" s="1329" t="s">
        <v>3426</v>
      </c>
      <c r="H171" s="1329" t="s">
        <v>3942</v>
      </c>
      <c r="I171" s="666"/>
      <c r="J171" s="666"/>
      <c r="K171" s="666"/>
      <c r="L171" s="653" t="str">
        <f t="shared" si="132"/>
        <v>4505</v>
      </c>
      <c r="M171" s="654" t="str">
        <f t="shared" si="0"/>
        <v>VTE - M.O. INTERNE CARROSSERIE</v>
      </c>
      <c r="N171" s="655">
        <f>+IF(OR($Q171=Parametres!$G$2,$Q171=Parametres!$G$3),I171,C171)</f>
        <v>-4919.7</v>
      </c>
      <c r="O171" s="655">
        <f>+IF(OR($Q171=Parametres!$G$2,$Q171=Parametres!$G$3),J171,D171)</f>
        <v>-4094.9</v>
      </c>
      <c r="P171" s="655">
        <f>+IF(OR($Q171=Parametres!$G$2,$Q171=Parametres!$G$3),K171,E171)</f>
        <v>-9014.6</v>
      </c>
      <c r="Q171" s="654" t="str">
        <f t="shared" ref="Q171:S171" si="162">+F171</f>
        <v>5-Ventes</v>
      </c>
      <c r="R171" s="653" t="str">
        <f t="shared" si="162"/>
        <v>4505</v>
      </c>
      <c r="S171" s="654" t="str">
        <f t="shared" si="162"/>
        <v>_</v>
      </c>
      <c r="T171" s="656" t="str">
        <f>+VLOOKUP($L171,Data_Validation!$A:$D,1,0)</f>
        <v>4505</v>
      </c>
      <c r="U171" s="656" t="str">
        <f>+VLOOKUP($L171,Data_Validation!$A:$D,3,0)</f>
        <v>Service</v>
      </c>
      <c r="V171" s="656" t="str">
        <f>+VLOOKUP($L171,Data_Validation!$A:$D,4,0)</f>
        <v>M.O. Recond. MCPA</v>
      </c>
      <c r="W171" s="656" t="str">
        <f>+VLOOKUP($L171,Data_Validation!$A:$E,5,0)</f>
        <v>$</v>
      </c>
      <c r="X171" s="656" t="str">
        <f>+VLOOKUP($L171,Data_Validation!$A:$F,6,0)</f>
        <v>Oui</v>
      </c>
    </row>
    <row r="172" spans="1:24" ht="15.75" customHeight="1">
      <c r="A172" s="1329" t="s">
        <v>1050</v>
      </c>
      <c r="B172" s="1329" t="s">
        <v>1051</v>
      </c>
      <c r="C172" s="1331">
        <v>-27051.16</v>
      </c>
      <c r="D172" s="1331">
        <v>-29796.1</v>
      </c>
      <c r="E172" s="1331">
        <v>-56847.26</v>
      </c>
      <c r="F172" s="1329" t="s">
        <v>963</v>
      </c>
      <c r="G172" s="1329" t="s">
        <v>1051</v>
      </c>
      <c r="H172" s="1329" t="s">
        <v>3942</v>
      </c>
      <c r="I172" s="666"/>
      <c r="J172" s="666"/>
      <c r="K172" s="666"/>
      <c r="L172" s="653" t="str">
        <f t="shared" si="132"/>
        <v>4591</v>
      </c>
      <c r="M172" s="654" t="str">
        <f t="shared" si="0"/>
        <v>VTE - S-TRAIT. CARR.</v>
      </c>
      <c r="N172" s="655">
        <f>+IF(OR($Q172=Parametres!$G$2,$Q172=Parametres!$G$3),I172,C172)</f>
        <v>-27051.16</v>
      </c>
      <c r="O172" s="655">
        <f>+IF(OR($Q172=Parametres!$G$2,$Q172=Parametres!$G$3),J172,D172)</f>
        <v>-29796.1</v>
      </c>
      <c r="P172" s="655">
        <f>+IF(OR($Q172=Parametres!$G$2,$Q172=Parametres!$G$3),K172,E172)</f>
        <v>-56847.26</v>
      </c>
      <c r="Q172" s="654" t="str">
        <f t="shared" ref="Q172:S172" si="163">+F172</f>
        <v>5-Ventes</v>
      </c>
      <c r="R172" s="653" t="str">
        <f t="shared" si="163"/>
        <v>4591</v>
      </c>
      <c r="S172" s="654" t="str">
        <f t="shared" si="163"/>
        <v>_</v>
      </c>
      <c r="T172" s="656" t="str">
        <f>+VLOOKUP($L172,Data_Validation!$A:$D,1,0)</f>
        <v>4591</v>
      </c>
      <c r="U172" s="656" t="str">
        <f>+VLOOKUP($L172,Data_Validation!$A:$D,3,0)</f>
        <v>Carrosserie</v>
      </c>
      <c r="V172" s="656" t="str">
        <f>+VLOOKUP($L172,Data_Validation!$A:$D,4,0)</f>
        <v>M/O Sous-traitement</v>
      </c>
      <c r="W172" s="656" t="str">
        <f>+VLOOKUP($L172,Data_Validation!$A:$E,5,0)</f>
        <v>$</v>
      </c>
      <c r="X172" s="656" t="str">
        <f>+VLOOKUP($L172,Data_Validation!$A:$F,6,0)</f>
        <v>Oui</v>
      </c>
    </row>
    <row r="173" spans="1:24" ht="15" customHeight="1">
      <c r="A173" s="1329" t="s">
        <v>1054</v>
      </c>
      <c r="B173" s="1329" t="s">
        <v>1055</v>
      </c>
      <c r="C173" s="1331">
        <v>-72781.19</v>
      </c>
      <c r="D173" s="1331">
        <v>-124453.85</v>
      </c>
      <c r="E173" s="1331">
        <v>-197235.04</v>
      </c>
      <c r="F173" s="1329" t="s">
        <v>963</v>
      </c>
      <c r="G173" s="1329" t="s">
        <v>1055</v>
      </c>
      <c r="H173" s="1329" t="s">
        <v>3942</v>
      </c>
      <c r="I173" s="666"/>
      <c r="J173" s="666"/>
      <c r="K173" s="666"/>
      <c r="L173" s="653" t="str">
        <f t="shared" si="132"/>
        <v>4593</v>
      </c>
      <c r="M173" s="654" t="str">
        <f t="shared" si="0"/>
        <v>VTE - SOUS-TRAITANCE GARANTIE CARR.</v>
      </c>
      <c r="N173" s="655">
        <f>+IF(OR($Q173=Parametres!$G$2,$Q173=Parametres!$G$3),I173,C173)</f>
        <v>-72781.19</v>
      </c>
      <c r="O173" s="655">
        <f>+IF(OR($Q173=Parametres!$G$2,$Q173=Parametres!$G$3),J173,D173)</f>
        <v>-124453.85</v>
      </c>
      <c r="P173" s="655">
        <f>+IF(OR($Q173=Parametres!$G$2,$Q173=Parametres!$G$3),K173,E173)</f>
        <v>-197235.04</v>
      </c>
      <c r="Q173" s="654" t="str">
        <f t="shared" ref="Q173:S173" si="164">+F173</f>
        <v>5-Ventes</v>
      </c>
      <c r="R173" s="653" t="str">
        <f t="shared" si="164"/>
        <v>4593</v>
      </c>
      <c r="S173" s="654" t="str">
        <f t="shared" si="164"/>
        <v>_</v>
      </c>
      <c r="T173" s="656" t="str">
        <f>+VLOOKUP($L173,Data_Validation!$A:$D,1,0)</f>
        <v>4593</v>
      </c>
      <c r="U173" s="656" t="str">
        <f>+VLOOKUP($L173,Data_Validation!$A:$D,3,0)</f>
        <v>Carrosserie</v>
      </c>
      <c r="V173" s="656" t="str">
        <f>+VLOOKUP($L173,Data_Validation!$A:$D,4,0)</f>
        <v>M/O Sous-traitement</v>
      </c>
      <c r="W173" s="656" t="str">
        <f>+VLOOKUP($L173,Data_Validation!$A:$E,5,0)</f>
        <v>$</v>
      </c>
      <c r="X173" s="656" t="str">
        <f>+VLOOKUP($L173,Data_Validation!$A:$F,6,0)</f>
        <v>Oui</v>
      </c>
    </row>
    <row r="174" spans="1:24" ht="15" customHeight="1">
      <c r="A174" s="1329" t="s">
        <v>1058</v>
      </c>
      <c r="B174" s="1329" t="s">
        <v>1059</v>
      </c>
      <c r="C174" s="1331">
        <v>-1069.3399999999999</v>
      </c>
      <c r="D174" s="1331">
        <v>-720</v>
      </c>
      <c r="E174" s="1331">
        <v>-1789.34</v>
      </c>
      <c r="F174" s="1329" t="s">
        <v>963</v>
      </c>
      <c r="G174" s="1329" t="s">
        <v>1059</v>
      </c>
      <c r="H174" s="1329" t="s">
        <v>3942</v>
      </c>
      <c r="I174" s="666"/>
      <c r="J174" s="666"/>
      <c r="K174" s="666"/>
      <c r="L174" s="653" t="str">
        <f t="shared" si="132"/>
        <v>4595</v>
      </c>
      <c r="M174" s="654" t="str">
        <f t="shared" si="0"/>
        <v>VTE - SOUS-TRAITANCE INTERNE CARR.</v>
      </c>
      <c r="N174" s="655">
        <f>+IF(OR($Q174=Parametres!$G$2,$Q174=Parametres!$G$3),I174,C174)</f>
        <v>-1069.3399999999999</v>
      </c>
      <c r="O174" s="655">
        <f>+IF(OR($Q174=Parametres!$G$2,$Q174=Parametres!$G$3),J174,D174)</f>
        <v>-720</v>
      </c>
      <c r="P174" s="655">
        <f>+IF(OR($Q174=Parametres!$G$2,$Q174=Parametres!$G$3),K174,E174)</f>
        <v>-1789.34</v>
      </c>
      <c r="Q174" s="654" t="str">
        <f t="shared" ref="Q174:S174" si="165">+F174</f>
        <v>5-Ventes</v>
      </c>
      <c r="R174" s="653" t="str">
        <f t="shared" si="165"/>
        <v>4595</v>
      </c>
      <c r="S174" s="654" t="str">
        <f t="shared" si="165"/>
        <v>_</v>
      </c>
      <c r="T174" s="656" t="str">
        <f>+VLOOKUP($L174,Data_Validation!$A:$D,1,0)</f>
        <v>4595</v>
      </c>
      <c r="U174" s="656" t="str">
        <f>+VLOOKUP($L174,Data_Validation!$A:$D,3,0)</f>
        <v>Carrosserie</v>
      </c>
      <c r="V174" s="656" t="str">
        <f>+VLOOKUP($L174,Data_Validation!$A:$D,4,0)</f>
        <v>M/O Sous-traitement</v>
      </c>
      <c r="W174" s="656" t="str">
        <f>+VLOOKUP($L174,Data_Validation!$A:$E,5,0)</f>
        <v>$</v>
      </c>
      <c r="X174" s="656" t="str">
        <f>+VLOOKUP($L174,Data_Validation!$A:$F,6,0)</f>
        <v>Oui</v>
      </c>
    </row>
    <row r="175" spans="1:24" ht="15" customHeight="1">
      <c r="A175" s="1329" t="s">
        <v>3673</v>
      </c>
      <c r="B175" s="1329" t="s">
        <v>1063</v>
      </c>
      <c r="C175" s="1331">
        <v>-72721.88</v>
      </c>
      <c r="D175" s="1331">
        <v>-66030.19</v>
      </c>
      <c r="E175" s="1331">
        <v>-138752.07</v>
      </c>
      <c r="F175" s="1329" t="s">
        <v>963</v>
      </c>
      <c r="G175" s="1329" t="s">
        <v>1063</v>
      </c>
      <c r="H175" s="1329" t="s">
        <v>3942</v>
      </c>
      <c r="I175" s="665"/>
      <c r="J175" s="665"/>
      <c r="K175" s="665"/>
      <c r="L175" s="653" t="str">
        <f t="shared" si="132"/>
        <v>4701</v>
      </c>
      <c r="M175" s="654" t="str">
        <f t="shared" si="0"/>
        <v>VW P&amp;A - BR - CLIENT - MCI</v>
      </c>
      <c r="N175" s="655">
        <f>+IF(OR($Q175=Parametres!$G$2,$Q175=Parametres!$G$3),I175,C175)</f>
        <v>-72721.88</v>
      </c>
      <c r="O175" s="655">
        <f>+IF(OR($Q175=Parametres!$G$2,$Q175=Parametres!$G$3),J175,D175)</f>
        <v>-66030.19</v>
      </c>
      <c r="P175" s="655">
        <f>+IF(OR($Q175=Parametres!$G$2,$Q175=Parametres!$G$3),K175,E175)</f>
        <v>-138752.07</v>
      </c>
      <c r="Q175" s="654" t="str">
        <f t="shared" ref="Q175:S175" si="166">+F175</f>
        <v>5-Ventes</v>
      </c>
      <c r="R175" s="653" t="str">
        <f t="shared" si="166"/>
        <v>4701</v>
      </c>
      <c r="S175" s="654" t="str">
        <f t="shared" si="166"/>
        <v>_</v>
      </c>
      <c r="T175" s="656" t="str">
        <f>+VLOOKUP($L175,Data_Validation!$A:$D,1,0)</f>
        <v>4701</v>
      </c>
      <c r="U175" s="656" t="str">
        <f>+VLOOKUP($L175,Data_Validation!$A:$D,3,0)</f>
        <v>Pièces</v>
      </c>
      <c r="V175" s="656" t="str">
        <f>+VLOOKUP($L175,Data_Validation!$A:$D,4,0)</f>
        <v>Pièces Ro Clients</v>
      </c>
      <c r="W175" s="656" t="str">
        <f>+VLOOKUP($L175,Data_Validation!$A:$E,5,0)</f>
        <v>$</v>
      </c>
      <c r="X175" s="656" t="str">
        <f>+VLOOKUP($L175,Data_Validation!$A:$F,6,0)</f>
        <v>Oui</v>
      </c>
    </row>
    <row r="176" spans="1:24" ht="15.75" customHeight="1">
      <c r="A176" s="1329" t="s">
        <v>1066</v>
      </c>
      <c r="B176" s="1329" t="s">
        <v>1067</v>
      </c>
      <c r="C176" s="1331">
        <v>-460.2</v>
      </c>
      <c r="D176" s="1331">
        <v>-404.35</v>
      </c>
      <c r="E176" s="1331">
        <v>-864.55</v>
      </c>
      <c r="F176" s="1329" t="s">
        <v>963</v>
      </c>
      <c r="G176" s="1329" t="s">
        <v>1067</v>
      </c>
      <c r="H176" s="1329" t="s">
        <v>3942</v>
      </c>
      <c r="I176" s="667"/>
      <c r="J176" s="667"/>
      <c r="K176" s="667"/>
      <c r="L176" s="653" t="str">
        <f t="shared" si="132"/>
        <v>4702</v>
      </c>
      <c r="M176" s="654" t="str">
        <f t="shared" si="0"/>
        <v>VTE - SHOP SUPPLY VW</v>
      </c>
      <c r="N176" s="655">
        <f>+IF(OR($Q176=Parametres!$G$2,$Q176=Parametres!$G$3),I176,C176)</f>
        <v>-460.2</v>
      </c>
      <c r="O176" s="655">
        <f>+IF(OR($Q176=Parametres!$G$2,$Q176=Parametres!$G$3),J176,D176)</f>
        <v>-404.35</v>
      </c>
      <c r="P176" s="655">
        <f>+IF(OR($Q176=Parametres!$G$2,$Q176=Parametres!$G$3),K176,E176)</f>
        <v>-864.55</v>
      </c>
      <c r="Q176" s="654" t="str">
        <f t="shared" ref="Q176:S176" si="167">+F176</f>
        <v>5-Ventes</v>
      </c>
      <c r="R176" s="653" t="str">
        <f t="shared" si="167"/>
        <v>4702</v>
      </c>
      <c r="S176" s="654" t="str">
        <f t="shared" si="167"/>
        <v>_</v>
      </c>
      <c r="T176" s="656" t="str">
        <f>+VLOOKUP($L176,Data_Validation!$A:$D,1,0)</f>
        <v>4702</v>
      </c>
      <c r="U176" s="656" t="str">
        <f>+VLOOKUP($L176,Data_Validation!$A:$D,3,0)</f>
        <v>Service</v>
      </c>
      <c r="V176" s="656" t="str">
        <f>+VLOOKUP($L176,Data_Validation!$A:$D,4,0)</f>
        <v>M/O Client</v>
      </c>
      <c r="W176" s="656" t="str">
        <f>+VLOOKUP($L176,Data_Validation!$A:$E,5,0)</f>
        <v>$</v>
      </c>
      <c r="X176" s="656" t="str">
        <f>+VLOOKUP($L176,Data_Validation!$A:$F,6,0)</f>
        <v>Oui</v>
      </c>
    </row>
    <row r="177" spans="1:24" ht="15" customHeight="1">
      <c r="A177" s="1329" t="s">
        <v>3674</v>
      </c>
      <c r="B177" s="1329" t="s">
        <v>1069</v>
      </c>
      <c r="C177" s="1331">
        <v>-101523.87</v>
      </c>
      <c r="D177" s="1331">
        <v>-104200.76</v>
      </c>
      <c r="E177" s="1331">
        <v>-205724.63</v>
      </c>
      <c r="F177" s="1329" t="s">
        <v>963</v>
      </c>
      <c r="G177" s="1329" t="s">
        <v>1069</v>
      </c>
      <c r="H177" s="1329" t="s">
        <v>3942</v>
      </c>
      <c r="I177" s="666"/>
      <c r="J177" s="666"/>
      <c r="K177" s="666"/>
      <c r="L177" s="653" t="str">
        <f t="shared" si="132"/>
        <v>4703</v>
      </c>
      <c r="M177" s="654" t="str">
        <f t="shared" si="0"/>
        <v>VW P&amp;A - BR - GARANTIE - MCI</v>
      </c>
      <c r="N177" s="655">
        <f>+IF(OR($Q177=Parametres!$G$2,$Q177=Parametres!$G$3),I177,C177)</f>
        <v>-101523.87</v>
      </c>
      <c r="O177" s="655">
        <f>+IF(OR($Q177=Parametres!$G$2,$Q177=Parametres!$G$3),J177,D177)</f>
        <v>-104200.76</v>
      </c>
      <c r="P177" s="655">
        <f>+IF(OR($Q177=Parametres!$G$2,$Q177=Parametres!$G$3),K177,E177)</f>
        <v>-205724.63</v>
      </c>
      <c r="Q177" s="654" t="str">
        <f t="shared" ref="Q177:S177" si="168">+F177</f>
        <v>5-Ventes</v>
      </c>
      <c r="R177" s="653" t="str">
        <f t="shared" si="168"/>
        <v>4703</v>
      </c>
      <c r="S177" s="654" t="str">
        <f t="shared" si="168"/>
        <v>_</v>
      </c>
      <c r="T177" s="656" t="str">
        <f>+VLOOKUP($L177,Data_Validation!$A:$D,1,0)</f>
        <v>4703</v>
      </c>
      <c r="U177" s="656" t="str">
        <f>+VLOOKUP($L177,Data_Validation!$A:$D,3,0)</f>
        <v>Pièces</v>
      </c>
      <c r="V177" s="656" t="str">
        <f>+VLOOKUP($L177,Data_Validation!$A:$D,4,0)</f>
        <v>P/A Garantie</v>
      </c>
      <c r="W177" s="656" t="str">
        <f>+VLOOKUP($L177,Data_Validation!$A:$E,5,0)</f>
        <v>$</v>
      </c>
      <c r="X177" s="656" t="str">
        <f>+VLOOKUP($L177,Data_Validation!$A:$F,6,0)</f>
        <v>Oui</v>
      </c>
    </row>
    <row r="178" spans="1:24" ht="15" customHeight="1">
      <c r="A178" s="1329" t="s">
        <v>3675</v>
      </c>
      <c r="B178" s="1329" t="s">
        <v>1073</v>
      </c>
      <c r="C178" s="1331">
        <v>-68555.25</v>
      </c>
      <c r="D178" s="1331">
        <v>-58808.68</v>
      </c>
      <c r="E178" s="1331">
        <v>-127363.93</v>
      </c>
      <c r="F178" s="1329" t="s">
        <v>963</v>
      </c>
      <c r="G178" s="1329" t="s">
        <v>1073</v>
      </c>
      <c r="H178" s="1329" t="s">
        <v>3942</v>
      </c>
      <c r="I178" s="666"/>
      <c r="J178" s="666"/>
      <c r="K178" s="666"/>
      <c r="L178" s="653" t="str">
        <f t="shared" si="132"/>
        <v>4705</v>
      </c>
      <c r="M178" s="668" t="str">
        <f t="shared" si="0"/>
        <v>VW P&amp;A - BR - INTERNE - MCI</v>
      </c>
      <c r="N178" s="655">
        <f>+IF(OR($Q178=Parametres!$G$2,$Q178=Parametres!$G$3),I178,C178)</f>
        <v>-68555.25</v>
      </c>
      <c r="O178" s="659">
        <f>+IF(OR($Q178=Parametres!$G$2,$Q178=Parametres!$G$3),J178,D178)</f>
        <v>-58808.68</v>
      </c>
      <c r="P178" s="669">
        <f>+IF(OR($Q178=Parametres!$G$2,$Q178=Parametres!$G$3),K178,E178)</f>
        <v>-127363.93</v>
      </c>
      <c r="Q178" s="654" t="str">
        <f t="shared" ref="Q178:S178" si="169">+F178</f>
        <v>5-Ventes</v>
      </c>
      <c r="R178" s="653" t="str">
        <f t="shared" si="169"/>
        <v>4705</v>
      </c>
      <c r="S178" s="654" t="str">
        <f t="shared" si="169"/>
        <v>_</v>
      </c>
      <c r="T178" s="656" t="str">
        <f>+VLOOKUP($L178,Data_Validation!$A:$D,1,0)</f>
        <v>4705</v>
      </c>
      <c r="U178" s="656" t="str">
        <f>+VLOOKUP($L178,Data_Validation!$A:$D,3,0)</f>
        <v>Pièces</v>
      </c>
      <c r="V178" s="656" t="str">
        <f>+VLOOKUP($L178,Data_Validation!$A:$D,4,0)</f>
        <v>Ventes Internes</v>
      </c>
      <c r="W178" s="656" t="str">
        <f>+VLOOKUP($L178,Data_Validation!$A:$E,5,0)</f>
        <v>$</v>
      </c>
      <c r="X178" s="656" t="str">
        <f>+VLOOKUP($L178,Data_Validation!$A:$F,6,0)</f>
        <v>Oui</v>
      </c>
    </row>
    <row r="179" spans="1:24" ht="15" customHeight="1">
      <c r="A179" s="1329" t="s">
        <v>3676</v>
      </c>
      <c r="B179" s="1329" t="s">
        <v>1076</v>
      </c>
      <c r="C179" s="1331">
        <v>-275.14</v>
      </c>
      <c r="D179" s="1331">
        <v>-195</v>
      </c>
      <c r="E179" s="1331">
        <v>-470.14</v>
      </c>
      <c r="F179" s="1329" t="s">
        <v>963</v>
      </c>
      <c r="G179" s="1329" t="s">
        <v>1076</v>
      </c>
      <c r="H179" s="1329" t="s">
        <v>3942</v>
      </c>
      <c r="I179" s="666"/>
      <c r="J179" s="666"/>
      <c r="K179" s="666"/>
      <c r="L179" s="653" t="str">
        <f t="shared" si="132"/>
        <v>4706</v>
      </c>
      <c r="M179" s="654" t="str">
        <f t="shared" si="0"/>
        <v>VW P&amp;A - BR - CLIENT - VEB</v>
      </c>
      <c r="N179" s="655">
        <f>+IF(OR($Q179=Parametres!$G$2,$Q179=Parametres!$G$3),I179,C179)</f>
        <v>-275.14</v>
      </c>
      <c r="O179" s="655">
        <f>+IF(OR($Q179=Parametres!$G$2,$Q179=Parametres!$G$3),J179,D179)</f>
        <v>-195</v>
      </c>
      <c r="P179" s="655">
        <f>+IF(OR($Q179=Parametres!$G$2,$Q179=Parametres!$G$3),K179,E179)</f>
        <v>-470.14</v>
      </c>
      <c r="Q179" s="654" t="str">
        <f t="shared" ref="Q179:S179" si="170">+F179</f>
        <v>5-Ventes</v>
      </c>
      <c r="R179" s="653" t="str">
        <f t="shared" si="170"/>
        <v>4706</v>
      </c>
      <c r="S179" s="654" t="str">
        <f t="shared" si="170"/>
        <v>_</v>
      </c>
      <c r="T179" s="656" t="str">
        <f>+VLOOKUP($L179,Data_Validation!$A:$D,1,0)</f>
        <v>4706</v>
      </c>
      <c r="U179" s="656" t="str">
        <f>+VLOOKUP($L179,Data_Validation!$A:$D,3,0)</f>
        <v>Service</v>
      </c>
      <c r="V179" s="656" t="str">
        <f>+VLOOKUP($L179,Data_Validation!$A:$D,4,0)</f>
        <v>M/O Interne</v>
      </c>
      <c r="W179" s="656" t="str">
        <f>+VLOOKUP($L179,Data_Validation!$A:$E,5,0)</f>
        <v>$</v>
      </c>
      <c r="X179" s="656" t="str">
        <f>+VLOOKUP($L179,Data_Validation!$A:$F,6,0)</f>
        <v>Oui</v>
      </c>
    </row>
    <row r="180" spans="1:24" ht="15" customHeight="1">
      <c r="A180" s="1329" t="s">
        <v>1077</v>
      </c>
      <c r="B180" s="1329" t="s">
        <v>1142</v>
      </c>
      <c r="C180" s="1331">
        <v>-3310.01</v>
      </c>
      <c r="D180" s="1331">
        <v>-2992.16</v>
      </c>
      <c r="E180" s="1331">
        <v>-6302.17</v>
      </c>
      <c r="F180" s="1329" t="s">
        <v>963</v>
      </c>
      <c r="G180" s="1329" t="s">
        <v>1078</v>
      </c>
      <c r="H180" s="1329" t="s">
        <v>3942</v>
      </c>
      <c r="I180" s="666"/>
      <c r="J180" s="666"/>
      <c r="K180" s="666"/>
      <c r="L180" s="653" t="str">
        <f t="shared" ref="L180:L243" si="171">TEXT(B180,0)</f>
        <v>4711</v>
      </c>
      <c r="M180" s="654" t="str">
        <f t="shared" ref="M180:M243" si="172">+A180</f>
        <v>VTE - AUTRE PIECE/ACC/CARR B.R. CLIENT</v>
      </c>
      <c r="N180" s="655">
        <f>+IF(OR($Q180=Parametres!$G$2,$Q180=Parametres!$G$3),I180,C180)</f>
        <v>-3310.01</v>
      </c>
      <c r="O180" s="659">
        <f>+IF(OR($Q180=Parametres!$G$2,$Q180=Parametres!$G$3),J180,D180)</f>
        <v>-2992.16</v>
      </c>
      <c r="P180" s="655">
        <f>+IF(OR($Q180=Parametres!$G$2,$Q180=Parametres!$G$3),K180,E180)</f>
        <v>-6302.17</v>
      </c>
      <c r="Q180" s="654" t="str">
        <f t="shared" ref="Q180:Q243" si="173">+F180</f>
        <v>5-Ventes</v>
      </c>
      <c r="R180" s="653" t="str">
        <f t="shared" ref="R180:R243" si="174">+G180</f>
        <v>84711</v>
      </c>
      <c r="S180" s="654" t="str">
        <f t="shared" ref="S180:S243" si="175">+H180</f>
        <v>_</v>
      </c>
      <c r="T180" s="656" t="str">
        <f>+VLOOKUP($L180,Data_Validation!$A:$D,1,0)</f>
        <v>4711</v>
      </c>
      <c r="U180" s="656" t="str">
        <f>+VLOOKUP($L180,Data_Validation!$A:$D,3,0)</f>
        <v>Pièces</v>
      </c>
      <c r="V180" s="656" t="str">
        <f>+VLOOKUP($L180,Data_Validation!$A:$D,4,0)</f>
        <v>Pièces Ro Clients</v>
      </c>
      <c r="W180" s="656" t="str">
        <f>+VLOOKUP($L180,Data_Validation!$A:$E,5,0)</f>
        <v>$</v>
      </c>
      <c r="X180" s="656" t="str">
        <f>+VLOOKUP($L180,Data_Validation!$A:$F,6,0)</f>
        <v>Oui</v>
      </c>
    </row>
    <row r="181" spans="1:24" ht="15.75" customHeight="1">
      <c r="A181" s="1329" t="s">
        <v>3677</v>
      </c>
      <c r="B181" s="1329" t="s">
        <v>1086</v>
      </c>
      <c r="C181" s="1331">
        <v>-1641.5</v>
      </c>
      <c r="D181" s="1331">
        <v>-591.1</v>
      </c>
      <c r="E181" s="1331">
        <v>-2232.6</v>
      </c>
      <c r="F181" s="1329" t="s">
        <v>963</v>
      </c>
      <c r="G181" s="1329" t="s">
        <v>1086</v>
      </c>
      <c r="H181" s="1329" t="s">
        <v>3942</v>
      </c>
      <c r="I181" s="666"/>
      <c r="J181" s="666"/>
      <c r="K181" s="666"/>
      <c r="L181" s="653" t="str">
        <f t="shared" si="171"/>
        <v>4731</v>
      </c>
      <c r="M181" s="654" t="str">
        <f t="shared" si="172"/>
        <v>VW-P&amp;A-P&amp;BRO-CLIENT - MCI</v>
      </c>
      <c r="N181" s="655">
        <f>+IF(OR($Q181=Parametres!$G$2,$Q181=Parametres!$G$3),I181,C181)</f>
        <v>-1641.5</v>
      </c>
      <c r="O181" s="655">
        <f>+IF(OR($Q181=Parametres!$G$2,$Q181=Parametres!$G$3),J181,D181)</f>
        <v>-591.1</v>
      </c>
      <c r="P181" s="655">
        <f>+IF(OR($Q181=Parametres!$G$2,$Q181=Parametres!$G$3),K181,E181)</f>
        <v>-2232.6</v>
      </c>
      <c r="Q181" s="654" t="str">
        <f t="shared" si="173"/>
        <v>5-Ventes</v>
      </c>
      <c r="R181" s="653" t="str">
        <f t="shared" si="174"/>
        <v>4731</v>
      </c>
      <c r="S181" s="654" t="str">
        <f t="shared" si="175"/>
        <v>_</v>
      </c>
      <c r="T181" s="656" t="str">
        <f>+VLOOKUP($L181,Data_Validation!$A:$D,1,0)</f>
        <v>4731</v>
      </c>
      <c r="U181" s="656" t="str">
        <f>+VLOOKUP($L181,Data_Validation!$A:$D,3,0)</f>
        <v>Pièces</v>
      </c>
      <c r="V181" s="656" t="str">
        <f>+VLOOKUP($L181,Data_Validation!$A:$D,4,0)</f>
        <v>Pièces Ro Carrosserie</v>
      </c>
      <c r="W181" s="656" t="str">
        <f>+VLOOKUP($L181,Data_Validation!$A:$E,5,0)</f>
        <v>$</v>
      </c>
      <c r="X181" s="656" t="str">
        <f>+VLOOKUP($L181,Data_Validation!$A:$F,6,0)</f>
        <v>Oui</v>
      </c>
    </row>
    <row r="182" spans="1:24" ht="15.75" customHeight="1">
      <c r="A182" s="1329" t="s">
        <v>3678</v>
      </c>
      <c r="B182" s="1329" t="s">
        <v>1090</v>
      </c>
      <c r="C182" s="1331">
        <v>-56139.12</v>
      </c>
      <c r="D182" s="1331">
        <v>-103021.27</v>
      </c>
      <c r="E182" s="1331">
        <v>-159160.39000000001</v>
      </c>
      <c r="F182" s="1329" t="s">
        <v>963</v>
      </c>
      <c r="G182" s="1329" t="s">
        <v>1090</v>
      </c>
      <c r="H182" s="1329" t="s">
        <v>3942</v>
      </c>
      <c r="I182" s="666"/>
      <c r="J182" s="666"/>
      <c r="K182" s="666"/>
      <c r="L182" s="653" t="str">
        <f t="shared" si="171"/>
        <v>4733</v>
      </c>
      <c r="M182" s="654" t="str">
        <f t="shared" si="172"/>
        <v>VW-P&amp;A-P&amp;BRO-GARANTIE - MCI</v>
      </c>
      <c r="N182" s="655">
        <f>+IF(OR($Q182=Parametres!$G$2,$Q182=Parametres!$G$3),I182,C182)</f>
        <v>-56139.12</v>
      </c>
      <c r="O182" s="655">
        <f>+IF(OR($Q182=Parametres!$G$2,$Q182=Parametres!$G$3),J182,D182)</f>
        <v>-103021.27</v>
      </c>
      <c r="P182" s="655">
        <f>+IF(OR($Q182=Parametres!$G$2,$Q182=Parametres!$G$3),K182,E182)</f>
        <v>-159160.39000000001</v>
      </c>
      <c r="Q182" s="654" t="str">
        <f t="shared" si="173"/>
        <v>5-Ventes</v>
      </c>
      <c r="R182" s="653" t="str">
        <f t="shared" si="174"/>
        <v>4733</v>
      </c>
      <c r="S182" s="654" t="str">
        <f t="shared" si="175"/>
        <v>_</v>
      </c>
      <c r="T182" s="656" t="str">
        <f>+VLOOKUP($L182,Data_Validation!$A:$D,1,0)</f>
        <v>4733</v>
      </c>
      <c r="U182" s="656" t="str">
        <f>+VLOOKUP($L182,Data_Validation!$A:$D,3,0)</f>
        <v>Pièces</v>
      </c>
      <c r="V182" s="656" t="str">
        <f>+VLOOKUP($L182,Data_Validation!$A:$D,4,0)</f>
        <v>Pièces Ro Carrosserie</v>
      </c>
      <c r="W182" s="656" t="str">
        <f>+VLOOKUP($L182,Data_Validation!$A:$E,5,0)</f>
        <v>$</v>
      </c>
      <c r="X182" s="656" t="str">
        <f>+VLOOKUP($L182,Data_Validation!$A:$F,6,0)</f>
        <v>Oui</v>
      </c>
    </row>
    <row r="183" spans="1:24" ht="15.75" customHeight="1">
      <c r="A183" s="1329" t="s">
        <v>3679</v>
      </c>
      <c r="B183" s="1329" t="s">
        <v>1094</v>
      </c>
      <c r="C183" s="1331">
        <v>-450.48</v>
      </c>
      <c r="D183" s="1331">
        <v>0</v>
      </c>
      <c r="E183" s="1331">
        <v>-450.48</v>
      </c>
      <c r="F183" s="1329" t="s">
        <v>963</v>
      </c>
      <c r="G183" s="1329" t="s">
        <v>1094</v>
      </c>
      <c r="H183" s="1329" t="s">
        <v>3942</v>
      </c>
      <c r="I183" s="666"/>
      <c r="J183" s="666"/>
      <c r="K183" s="666"/>
      <c r="L183" s="653" t="str">
        <f t="shared" si="171"/>
        <v>4735</v>
      </c>
      <c r="M183" s="654" t="str">
        <f t="shared" si="172"/>
        <v>VW-P&amp;A-P&amp;BRO-INTERNE - MCI</v>
      </c>
      <c r="N183" s="655">
        <f>+IF(OR($Q183=Parametres!$G$2,$Q183=Parametres!$G$3),I183,C183)</f>
        <v>-450.48</v>
      </c>
      <c r="O183" s="655">
        <f>+IF(OR($Q183=Parametres!$G$2,$Q183=Parametres!$G$3),J183,D183)</f>
        <v>0</v>
      </c>
      <c r="P183" s="655">
        <f>+IF(OR($Q183=Parametres!$G$2,$Q183=Parametres!$G$3),K183,E183)</f>
        <v>-450.48</v>
      </c>
      <c r="Q183" s="654" t="str">
        <f t="shared" si="173"/>
        <v>5-Ventes</v>
      </c>
      <c r="R183" s="653" t="str">
        <f t="shared" si="174"/>
        <v>4735</v>
      </c>
      <c r="S183" s="654" t="str">
        <f t="shared" si="175"/>
        <v>_</v>
      </c>
      <c r="T183" s="656" t="str">
        <f>+VLOOKUP($L183,Data_Validation!$A:$D,1,0)</f>
        <v>4735</v>
      </c>
      <c r="U183" s="656" t="str">
        <f>+VLOOKUP($L183,Data_Validation!$A:$D,3,0)</f>
        <v>Pièces</v>
      </c>
      <c r="V183" s="656" t="str">
        <f>+VLOOKUP($L183,Data_Validation!$A:$D,4,0)</f>
        <v>Pièces Ro Carrosserie</v>
      </c>
      <c r="W183" s="656" t="str">
        <f>+VLOOKUP($L183,Data_Validation!$A:$E,5,0)</f>
        <v>$</v>
      </c>
      <c r="X183" s="656" t="str">
        <f>+VLOOKUP($L183,Data_Validation!$A:$F,6,0)</f>
        <v>Oui</v>
      </c>
    </row>
    <row r="184" spans="1:24" ht="15.75" customHeight="1">
      <c r="A184" s="1329" t="s">
        <v>1097</v>
      </c>
      <c r="B184" s="1329" t="s">
        <v>1098</v>
      </c>
      <c r="C184" s="1331">
        <v>-12432.73</v>
      </c>
      <c r="D184" s="1331">
        <v>-8951.66</v>
      </c>
      <c r="E184" s="1331">
        <v>-21384.39</v>
      </c>
      <c r="F184" s="1329" t="s">
        <v>963</v>
      </c>
      <c r="G184" s="1329" t="s">
        <v>1098</v>
      </c>
      <c r="H184" s="1329" t="s">
        <v>3942</v>
      </c>
      <c r="I184" s="667"/>
      <c r="J184" s="667"/>
      <c r="K184" s="667"/>
      <c r="L184" s="653" t="str">
        <f t="shared" si="171"/>
        <v>4761</v>
      </c>
      <c r="M184" s="654" t="str">
        <f t="shared" si="172"/>
        <v>VTE - P&amp;A VW COMPTOIR - DETAIL</v>
      </c>
      <c r="N184" s="655">
        <f>+IF(OR($Q184=Parametres!$G$2,$Q184=Parametres!$G$3),I184,C184)</f>
        <v>-12432.73</v>
      </c>
      <c r="O184" s="659">
        <f>+IF(OR($Q184=Parametres!$G$2,$Q184=Parametres!$G$3),J184,D184)</f>
        <v>-8951.66</v>
      </c>
      <c r="P184" s="655">
        <f>+IF(OR($Q184=Parametres!$G$2,$Q184=Parametres!$G$3),K184,E184)</f>
        <v>-21384.39</v>
      </c>
      <c r="Q184" s="654" t="str">
        <f t="shared" si="173"/>
        <v>5-Ventes</v>
      </c>
      <c r="R184" s="653" t="str">
        <f t="shared" si="174"/>
        <v>4761</v>
      </c>
      <c r="S184" s="654" t="str">
        <f t="shared" si="175"/>
        <v>_</v>
      </c>
      <c r="T184" s="656" t="str">
        <f>+VLOOKUP($L184,Data_Validation!$A:$D,1,0)</f>
        <v>4761</v>
      </c>
      <c r="U184" s="656" t="str">
        <f>+VLOOKUP($L184,Data_Validation!$A:$D,3,0)</f>
        <v>Pièces</v>
      </c>
      <c r="V184" s="656" t="str">
        <f>+VLOOKUP($L184,Data_Validation!$A:$D,4,0)</f>
        <v>Ventes Détails</v>
      </c>
      <c r="W184" s="656" t="str">
        <f>+VLOOKUP($L184,Data_Validation!$A:$E,5,0)</f>
        <v>$</v>
      </c>
      <c r="X184" s="656" t="str">
        <f>+VLOOKUP($L184,Data_Validation!$A:$F,6,0)</f>
        <v>Oui</v>
      </c>
    </row>
    <row r="185" spans="1:24" ht="15.75" customHeight="1">
      <c r="A185" s="1329" t="s">
        <v>1101</v>
      </c>
      <c r="B185" s="1329" t="s">
        <v>1102</v>
      </c>
      <c r="C185" s="1331">
        <v>-275044.34000000003</v>
      </c>
      <c r="D185" s="1331">
        <v>-204248.82</v>
      </c>
      <c r="E185" s="1331">
        <v>-479293.16</v>
      </c>
      <c r="F185" s="1329" t="s">
        <v>963</v>
      </c>
      <c r="G185" s="1329" t="s">
        <v>1102</v>
      </c>
      <c r="H185" s="1329" t="s">
        <v>3942</v>
      </c>
      <c r="I185" s="666"/>
      <c r="J185" s="666"/>
      <c r="K185" s="666"/>
      <c r="L185" s="653" t="str">
        <f t="shared" si="171"/>
        <v>4763</v>
      </c>
      <c r="M185" s="654" t="str">
        <f t="shared" si="172"/>
        <v>VTE - P&amp;A VW COMPTOIR GROS - ECHANGE</v>
      </c>
      <c r="N185" s="655">
        <f>+IF(OR($Q185=Parametres!$G$2,$Q185=Parametres!$G$3),I185,C185)</f>
        <v>-275044.34000000003</v>
      </c>
      <c r="O185" s="655">
        <f>+IF(OR($Q185=Parametres!$G$2,$Q185=Parametres!$G$3),J185,D185)</f>
        <v>-204248.82</v>
      </c>
      <c r="P185" s="655">
        <f>+IF(OR($Q185=Parametres!$G$2,$Q185=Parametres!$G$3),K185,E185)</f>
        <v>-479293.16</v>
      </c>
      <c r="Q185" s="654" t="str">
        <f t="shared" si="173"/>
        <v>5-Ventes</v>
      </c>
      <c r="R185" s="653" t="str">
        <f t="shared" si="174"/>
        <v>4763</v>
      </c>
      <c r="S185" s="654" t="str">
        <f t="shared" si="175"/>
        <v>_</v>
      </c>
      <c r="T185" s="656" t="str">
        <f>+VLOOKUP($L185,Data_Validation!$A:$D,1,0)</f>
        <v>4763</v>
      </c>
      <c r="U185" s="656" t="str">
        <f>+VLOOKUP($L185,Data_Validation!$A:$D,3,0)</f>
        <v>Pièces</v>
      </c>
      <c r="V185" s="656" t="str">
        <f>+VLOOKUP($L185,Data_Validation!$A:$D,4,0)</f>
        <v>Ventes de Gros</v>
      </c>
      <c r="W185" s="656" t="str">
        <f>+VLOOKUP($L185,Data_Validation!$A:$E,5,0)</f>
        <v>$</v>
      </c>
      <c r="X185" s="656" t="str">
        <f>+VLOOKUP($L185,Data_Validation!$A:$F,6,0)</f>
        <v>Oui</v>
      </c>
    </row>
    <row r="186" spans="1:24" ht="15.75" customHeight="1">
      <c r="A186" s="1329" t="s">
        <v>1105</v>
      </c>
      <c r="B186" s="1329" t="s">
        <v>1106</v>
      </c>
      <c r="C186" s="1331">
        <v>-66754.27</v>
      </c>
      <c r="D186" s="1331">
        <v>-58034.37</v>
      </c>
      <c r="E186" s="1331">
        <v>-124788.64</v>
      </c>
      <c r="F186" s="1329" t="s">
        <v>963</v>
      </c>
      <c r="G186" s="1329" t="s">
        <v>1106</v>
      </c>
      <c r="H186" s="1329" t="s">
        <v>3942</v>
      </c>
      <c r="I186" s="667"/>
      <c r="J186" s="667"/>
      <c r="K186" s="667"/>
      <c r="L186" s="653" t="str">
        <f t="shared" si="171"/>
        <v>4781</v>
      </c>
      <c r="M186" s="654" t="str">
        <f t="shared" si="172"/>
        <v>VENTES PNEUS</v>
      </c>
      <c r="N186" s="655">
        <f>+IF(OR($Q186=Parametres!$G$2,$Q186=Parametres!$G$3),I186,C186)</f>
        <v>-66754.27</v>
      </c>
      <c r="O186" s="659">
        <f>+IF(OR($Q186=Parametres!$G$2,$Q186=Parametres!$G$3),J186,D186)</f>
        <v>-58034.37</v>
      </c>
      <c r="P186" s="655">
        <f>+IF(OR($Q186=Parametres!$G$2,$Q186=Parametres!$G$3),K186,E186)</f>
        <v>-124788.64</v>
      </c>
      <c r="Q186" s="654" t="str">
        <f t="shared" si="173"/>
        <v>5-Ventes</v>
      </c>
      <c r="R186" s="653" t="str">
        <f t="shared" si="174"/>
        <v>4781</v>
      </c>
      <c r="S186" s="654" t="str">
        <f t="shared" si="175"/>
        <v>_</v>
      </c>
      <c r="T186" s="656" t="str">
        <f>+VLOOKUP($L186,Data_Validation!$A:$D,1,0)</f>
        <v>4781</v>
      </c>
      <c r="U186" s="656" t="str">
        <f>+VLOOKUP($L186,Data_Validation!$A:$D,3,0)</f>
        <v>Pièces</v>
      </c>
      <c r="V186" s="656" t="str">
        <f>+VLOOKUP($L186,Data_Validation!$A:$D,4,0)</f>
        <v>Ventes Pneus</v>
      </c>
      <c r="W186" s="656" t="str">
        <f>+VLOOKUP($L186,Data_Validation!$A:$E,5,0)</f>
        <v>$</v>
      </c>
      <c r="X186" s="656" t="str">
        <f>+VLOOKUP($L186,Data_Validation!$A:$F,6,0)</f>
        <v>Oui</v>
      </c>
    </row>
    <row r="187" spans="1:24" ht="15" customHeight="1">
      <c r="A187" s="1329" t="s">
        <v>1108</v>
      </c>
      <c r="B187" s="1329" t="s">
        <v>2050</v>
      </c>
      <c r="C187" s="1331">
        <v>1178</v>
      </c>
      <c r="D187" s="1331">
        <v>-333.42</v>
      </c>
      <c r="E187" s="1331">
        <v>844.58</v>
      </c>
      <c r="F187" s="1329" t="s">
        <v>963</v>
      </c>
      <c r="G187" s="1329" t="s">
        <v>1106</v>
      </c>
      <c r="H187" s="1329" t="s">
        <v>3942</v>
      </c>
      <c r="I187" s="666"/>
      <c r="J187" s="666"/>
      <c r="K187" s="666"/>
      <c r="L187" s="653" t="str">
        <f t="shared" si="171"/>
        <v>4785</v>
      </c>
      <c r="M187" s="654" t="str">
        <f t="shared" si="172"/>
        <v>VTE - VW PNEUS</v>
      </c>
      <c r="N187" s="655">
        <f>+IF(OR($Q187=Parametres!$G$2,$Q187=Parametres!$G$3),I187,C187)</f>
        <v>1178</v>
      </c>
      <c r="O187" s="655">
        <f>+IF(OR($Q187=Parametres!$G$2,$Q187=Parametres!$G$3),J187,D187)</f>
        <v>-333.42</v>
      </c>
      <c r="P187" s="655">
        <f>+IF(OR($Q187=Parametres!$G$2,$Q187=Parametres!$G$3),K187,E187)</f>
        <v>844.58</v>
      </c>
      <c r="Q187" s="654" t="str">
        <f t="shared" si="173"/>
        <v>5-Ventes</v>
      </c>
      <c r="R187" s="653" t="str">
        <f t="shared" si="174"/>
        <v>4781</v>
      </c>
      <c r="S187" s="654" t="str">
        <f t="shared" si="175"/>
        <v>_</v>
      </c>
      <c r="T187" s="656" t="str">
        <f>+VLOOKUP($L187,Data_Validation!$A:$D,1,0)</f>
        <v>4785</v>
      </c>
      <c r="U187" s="656" t="str">
        <f>+VLOOKUP($L187,Data_Validation!$A:$D,3,0)</f>
        <v>Pièces</v>
      </c>
      <c r="V187" s="656" t="str">
        <f>+VLOOKUP($L187,Data_Validation!$A:$D,4,0)</f>
        <v>Ventes Pneus</v>
      </c>
      <c r="W187" s="656" t="str">
        <f>+VLOOKUP($L187,Data_Validation!$A:$E,5,0)</f>
        <v>$</v>
      </c>
      <c r="X187" s="656" t="str">
        <f>+VLOOKUP($L187,Data_Validation!$A:$F,6,0)</f>
        <v>Oui</v>
      </c>
    </row>
    <row r="188" spans="1:24" ht="15" customHeight="1">
      <c r="A188" s="1329" t="s">
        <v>1109</v>
      </c>
      <c r="B188" s="1329" t="s">
        <v>2058</v>
      </c>
      <c r="C188" s="1331">
        <v>205587.92</v>
      </c>
      <c r="D188" s="1331">
        <v>151974.71</v>
      </c>
      <c r="E188" s="1331">
        <v>357562.63</v>
      </c>
      <c r="F188" s="1329" t="s">
        <v>1110</v>
      </c>
      <c r="G188" s="1329" t="s">
        <v>964</v>
      </c>
      <c r="H188" s="1329" t="s">
        <v>3942</v>
      </c>
      <c r="I188" s="652"/>
      <c r="J188" s="652"/>
      <c r="K188" s="652"/>
      <c r="L188" s="653" t="str">
        <f t="shared" si="171"/>
        <v>5100</v>
      </c>
      <c r="M188" s="654" t="str">
        <f t="shared" si="172"/>
        <v>C/V - RACHAT DE BAIL</v>
      </c>
      <c r="N188" s="655">
        <f>+IF(OR($Q188=Parametres!$G$2,$Q188=Parametres!$G$3),I188,C188)</f>
        <v>205587.92</v>
      </c>
      <c r="O188" s="655">
        <f>+IF(OR($Q188=Parametres!$G$2,$Q188=Parametres!$G$3),J188,D188)</f>
        <v>151974.71</v>
      </c>
      <c r="P188" s="655">
        <f>+IF(OR($Q188=Parametres!$G$2,$Q188=Parametres!$G$3),K188,E188)</f>
        <v>357562.63</v>
      </c>
      <c r="Q188" s="654" t="str">
        <f t="shared" si="173"/>
        <v>6-Coût des ventes</v>
      </c>
      <c r="R188" s="653" t="str">
        <f t="shared" si="174"/>
        <v>4100</v>
      </c>
      <c r="S188" s="654" t="str">
        <f t="shared" si="175"/>
        <v>_</v>
      </c>
      <c r="T188" s="656" t="str">
        <f>+VLOOKUP($L188,Data_Validation!$A:$D,1,0)</f>
        <v>5100</v>
      </c>
      <c r="U188" s="656" t="str">
        <f>+VLOOKUP($L188,Data_Validation!$A:$D,3,0)</f>
        <v>Véhicules neufs</v>
      </c>
      <c r="V188" s="656" t="str">
        <f>+VLOOKUP($L188,Data_Validation!$A:$D,4,0)</f>
        <v>Rachat bail</v>
      </c>
      <c r="W188" s="656" t="str">
        <f>+VLOOKUP($L188,Data_Validation!$A:$E,5,0)</f>
        <v>$</v>
      </c>
      <c r="X188" s="656">
        <f>+VLOOKUP($L188,Data_Validation!$A:$F,6,0)</f>
        <v>0</v>
      </c>
    </row>
    <row r="189" spans="1:24" ht="15" customHeight="1">
      <c r="A189" s="1329" t="s">
        <v>1111</v>
      </c>
      <c r="B189" s="1329" t="s">
        <v>2070</v>
      </c>
      <c r="C189" s="1331">
        <v>0</v>
      </c>
      <c r="D189" s="1331">
        <v>55930.8</v>
      </c>
      <c r="E189" s="1331">
        <v>55930.8</v>
      </c>
      <c r="F189" s="1329" t="s">
        <v>1110</v>
      </c>
      <c r="G189" s="1329" t="s">
        <v>968</v>
      </c>
      <c r="H189" s="1329" t="s">
        <v>3942</v>
      </c>
      <c r="I189" s="651"/>
      <c r="J189" s="651"/>
      <c r="K189" s="651"/>
      <c r="L189" s="653" t="str">
        <f t="shared" si="171"/>
        <v>5109</v>
      </c>
      <c r="M189" s="654" t="str">
        <f t="shared" si="172"/>
        <v>C/V - GOLF R</v>
      </c>
      <c r="N189" s="655">
        <f>+IF(OR($Q189=Parametres!$G$2,$Q189=Parametres!$G$3),I189,C189)</f>
        <v>0</v>
      </c>
      <c r="O189" s="655">
        <f>+IF(OR($Q189=Parametres!$G$2,$Q189=Parametres!$G$3),J189,D189)</f>
        <v>55930.8</v>
      </c>
      <c r="P189" s="655">
        <f>+IF(OR($Q189=Parametres!$G$2,$Q189=Parametres!$G$3),K189,E189)</f>
        <v>55930.8</v>
      </c>
      <c r="Q189" s="654" t="str">
        <f t="shared" si="173"/>
        <v>6-Coût des ventes</v>
      </c>
      <c r="R189" s="653" t="str">
        <f t="shared" si="174"/>
        <v>4109</v>
      </c>
      <c r="S189" s="654" t="str">
        <f t="shared" si="175"/>
        <v>_</v>
      </c>
      <c r="T189" s="656" t="str">
        <f>+VLOOKUP($L189,Data_Validation!$A:$D,1,0)</f>
        <v>5109</v>
      </c>
      <c r="U189" s="656" t="str">
        <f>+VLOOKUP($L189,Data_Validation!$A:$D,3,0)</f>
        <v>Véhicules neufs</v>
      </c>
      <c r="V189" s="656" t="str">
        <f>+VLOOKUP($L189,Data_Validation!$A:$D,4,0)</f>
        <v>Autos détail</v>
      </c>
      <c r="W189" s="656" t="str">
        <f>+VLOOKUP($L189,Data_Validation!$A:$E,5,0)</f>
        <v>$</v>
      </c>
      <c r="X189" s="656">
        <f>+VLOOKUP($L189,Data_Validation!$A:$F,6,0)</f>
        <v>0</v>
      </c>
    </row>
    <row r="190" spans="1:24" ht="15" customHeight="1">
      <c r="A190" s="1329" t="s">
        <v>971</v>
      </c>
      <c r="B190" s="1329" t="s">
        <v>2075</v>
      </c>
      <c r="C190" s="1331">
        <v>123742.49</v>
      </c>
      <c r="D190" s="1331">
        <v>132275.98000000001</v>
      </c>
      <c r="E190" s="1331">
        <v>256018.47</v>
      </c>
      <c r="F190" s="1329" t="s">
        <v>1110</v>
      </c>
      <c r="G190" s="1329" t="s">
        <v>972</v>
      </c>
      <c r="H190" s="1329" t="s">
        <v>3942</v>
      </c>
      <c r="I190" s="652"/>
      <c r="J190" s="652"/>
      <c r="K190" s="652"/>
      <c r="L190" s="653" t="str">
        <f t="shared" si="171"/>
        <v>5111</v>
      </c>
      <c r="M190" s="654" t="str">
        <f t="shared" si="172"/>
        <v>JETTA/ JETTA GLI</v>
      </c>
      <c r="N190" s="655">
        <f>+IF(OR($Q190=Parametres!$G$2,$Q190=Parametres!$G$3),I190,C190)</f>
        <v>123742.49</v>
      </c>
      <c r="O190" s="655">
        <f>+IF(OR($Q190=Parametres!$G$2,$Q190=Parametres!$G$3),J190,D190)</f>
        <v>132275.98000000001</v>
      </c>
      <c r="P190" s="655">
        <f>+IF(OR($Q190=Parametres!$G$2,$Q190=Parametres!$G$3),K190,E190)</f>
        <v>256018.47</v>
      </c>
      <c r="Q190" s="654" t="str">
        <f t="shared" si="173"/>
        <v>6-Coût des ventes</v>
      </c>
      <c r="R190" s="653" t="str">
        <f t="shared" si="174"/>
        <v>4111</v>
      </c>
      <c r="S190" s="654" t="str">
        <f t="shared" si="175"/>
        <v>_</v>
      </c>
      <c r="T190" s="656" t="str">
        <f>+VLOOKUP($L190,Data_Validation!$A:$D,1,0)</f>
        <v>5111</v>
      </c>
      <c r="U190" s="656" t="str">
        <f>+VLOOKUP($L190,Data_Validation!$A:$D,3,0)</f>
        <v>Véhicules neufs</v>
      </c>
      <c r="V190" s="656" t="str">
        <f>+VLOOKUP($L190,Data_Validation!$A:$D,4,0)</f>
        <v>Autos détail</v>
      </c>
      <c r="W190" s="656" t="str">
        <f>+VLOOKUP($L190,Data_Validation!$A:$E,5,0)</f>
        <v>$</v>
      </c>
      <c r="X190" s="656">
        <f>+VLOOKUP($L190,Data_Validation!$A:$F,6,0)</f>
        <v>0</v>
      </c>
    </row>
    <row r="191" spans="1:24" ht="15" customHeight="1">
      <c r="A191" s="1329" t="s">
        <v>1112</v>
      </c>
      <c r="B191" s="1329" t="s">
        <v>3383</v>
      </c>
      <c r="C191" s="1331">
        <v>462775.03</v>
      </c>
      <c r="D191" s="1331">
        <v>495541.79</v>
      </c>
      <c r="E191" s="1331">
        <v>958316.82</v>
      </c>
      <c r="F191" s="1329" t="s">
        <v>1110</v>
      </c>
      <c r="G191" s="1329" t="s">
        <v>1113</v>
      </c>
      <c r="H191" s="1329" t="s">
        <v>3942</v>
      </c>
      <c r="I191" s="651"/>
      <c r="J191" s="651"/>
      <c r="K191" s="670"/>
      <c r="L191" s="653" t="str">
        <f t="shared" si="171"/>
        <v>5118</v>
      </c>
      <c r="M191" s="654" t="str">
        <f t="shared" si="172"/>
        <v>C/V - TAOS</v>
      </c>
      <c r="N191" s="655">
        <f>+IF(OR($Q191=Parametres!$G$2,$Q191=Parametres!$G$3),I191,C191)</f>
        <v>462775.03</v>
      </c>
      <c r="O191" s="655">
        <f>+IF(OR($Q191=Parametres!$G$2,$Q191=Parametres!$G$3),J191,D191)</f>
        <v>495541.79</v>
      </c>
      <c r="P191" s="655">
        <f>+IF(OR($Q191=Parametres!$G$2,$Q191=Parametres!$G$3),K191,E191)</f>
        <v>958316.82</v>
      </c>
      <c r="Q191" s="654" t="str">
        <f t="shared" si="173"/>
        <v>6-Coût des ventes</v>
      </c>
      <c r="R191" s="653" t="str">
        <f t="shared" si="174"/>
        <v>511</v>
      </c>
      <c r="S191" s="654" t="str">
        <f t="shared" si="175"/>
        <v>_</v>
      </c>
      <c r="T191" s="656" t="str">
        <f>+VLOOKUP($L191,Data_Validation!$A:$D,1,0)</f>
        <v>5118</v>
      </c>
      <c r="U191" s="656" t="str">
        <f>+VLOOKUP($L191,Data_Validation!$A:$D,3,0)</f>
        <v>Véhicules neufs</v>
      </c>
      <c r="V191" s="656" t="str">
        <f>+VLOOKUP($L191,Data_Validation!$A:$D,4,0)</f>
        <v>Camions détail</v>
      </c>
      <c r="W191" s="656" t="str">
        <f>+VLOOKUP($L191,Data_Validation!$A:$E,5,0)</f>
        <v>$</v>
      </c>
      <c r="X191" s="656">
        <f>+VLOOKUP($L191,Data_Validation!$A:$F,6,0)</f>
        <v>0</v>
      </c>
    </row>
    <row r="192" spans="1:24" ht="15" customHeight="1">
      <c r="A192" s="1329" t="s">
        <v>1114</v>
      </c>
      <c r="B192" s="1329" t="s">
        <v>2084</v>
      </c>
      <c r="C192" s="1331">
        <v>63407.49</v>
      </c>
      <c r="D192" s="1331">
        <v>227568.37</v>
      </c>
      <c r="E192" s="1331">
        <v>290975.86</v>
      </c>
      <c r="F192" s="1329" t="s">
        <v>1110</v>
      </c>
      <c r="G192" s="1329" t="s">
        <v>980</v>
      </c>
      <c r="H192" s="1329" t="s">
        <v>3942</v>
      </c>
      <c r="I192" s="652"/>
      <c r="J192" s="652"/>
      <c r="K192" s="652"/>
      <c r="L192" s="653" t="str">
        <f t="shared" si="171"/>
        <v>5119</v>
      </c>
      <c r="M192" s="654" t="str">
        <f t="shared" si="172"/>
        <v>C/V - ATLAS</v>
      </c>
      <c r="N192" s="655">
        <f>+IF(OR($Q192=Parametres!$G$2,$Q192=Parametres!$G$3),I192,C192)</f>
        <v>63407.49</v>
      </c>
      <c r="O192" s="655">
        <f>+IF(OR($Q192=Parametres!$G$2,$Q192=Parametres!$G$3),J192,D192)</f>
        <v>227568.37</v>
      </c>
      <c r="P192" s="655">
        <f>+IF(OR($Q192=Parametres!$G$2,$Q192=Parametres!$G$3),K192,E192)</f>
        <v>290975.86</v>
      </c>
      <c r="Q192" s="654" t="str">
        <f t="shared" si="173"/>
        <v>6-Coût des ventes</v>
      </c>
      <c r="R192" s="653" t="str">
        <f t="shared" si="174"/>
        <v>4119</v>
      </c>
      <c r="S192" s="654" t="str">
        <f t="shared" si="175"/>
        <v>_</v>
      </c>
      <c r="T192" s="656" t="str">
        <f>+VLOOKUP($L192,Data_Validation!$A:$D,1,0)</f>
        <v>5119</v>
      </c>
      <c r="U192" s="656" t="str">
        <f>+VLOOKUP($L192,Data_Validation!$A:$D,3,0)</f>
        <v>Véhicules neufs</v>
      </c>
      <c r="V192" s="656" t="str">
        <f>+VLOOKUP($L192,Data_Validation!$A:$D,4,0)</f>
        <v>Camions détail</v>
      </c>
      <c r="W192" s="656" t="str">
        <f>+VLOOKUP($L192,Data_Validation!$A:$E,5,0)</f>
        <v>$</v>
      </c>
      <c r="X192" s="656">
        <f>+VLOOKUP($L192,Data_Validation!$A:$F,6,0)</f>
        <v>0</v>
      </c>
    </row>
    <row r="193" spans="1:24" ht="15" customHeight="1">
      <c r="A193" s="1329" t="s">
        <v>1115</v>
      </c>
      <c r="B193" s="1329" t="s">
        <v>3384</v>
      </c>
      <c r="C193" s="1331">
        <v>0</v>
      </c>
      <c r="D193" s="1331">
        <v>121435.47</v>
      </c>
      <c r="E193" s="1331">
        <v>121435.47</v>
      </c>
      <c r="F193" s="1329" t="s">
        <v>1110</v>
      </c>
      <c r="G193" s="1329" t="s">
        <v>3348</v>
      </c>
      <c r="H193" s="1329" t="s">
        <v>3942</v>
      </c>
      <c r="I193" s="651"/>
      <c r="J193" s="651"/>
      <c r="K193" s="670"/>
      <c r="L193" s="653" t="str">
        <f t="shared" si="171"/>
        <v>5121</v>
      </c>
      <c r="M193" s="654" t="str">
        <f t="shared" si="172"/>
        <v>C/V - ATLAS CROSS SPORT</v>
      </c>
      <c r="N193" s="655">
        <f>+IF(OR($Q193=Parametres!$G$2,$Q193=Parametres!$G$3),I193,C193)</f>
        <v>0</v>
      </c>
      <c r="O193" s="655">
        <f>+IF(OR($Q193=Parametres!$G$2,$Q193=Parametres!$G$3),J193,D193)</f>
        <v>121435.47</v>
      </c>
      <c r="P193" s="655">
        <f>+IF(OR($Q193=Parametres!$G$2,$Q193=Parametres!$G$3),K193,E193)</f>
        <v>121435.47</v>
      </c>
      <c r="Q193" s="654" t="str">
        <f t="shared" si="173"/>
        <v>6-Coût des ventes</v>
      </c>
      <c r="R193" s="653" t="str">
        <f t="shared" si="174"/>
        <v>4121</v>
      </c>
      <c r="S193" s="654" t="str">
        <f t="shared" si="175"/>
        <v>_</v>
      </c>
      <c r="T193" s="656" t="str">
        <f>+VLOOKUP($L193,Data_Validation!$A:$D,1,0)</f>
        <v>5121</v>
      </c>
      <c r="U193" s="656" t="str">
        <f>+VLOOKUP($L193,Data_Validation!$A:$D,3,0)</f>
        <v>Véhicules neufs</v>
      </c>
      <c r="V193" s="656" t="str">
        <f>+VLOOKUP($L193,Data_Validation!$A:$D,4,0)</f>
        <v>Camions détail</v>
      </c>
      <c r="W193" s="656" t="str">
        <f>+VLOOKUP($L193,Data_Validation!$A:$E,5,0)</f>
        <v>$</v>
      </c>
      <c r="X193" s="656">
        <f>+VLOOKUP($L193,Data_Validation!$A:$F,6,0)</f>
        <v>0</v>
      </c>
    </row>
    <row r="194" spans="1:24" ht="15.75" customHeight="1">
      <c r="A194" s="1329" t="s">
        <v>1116</v>
      </c>
      <c r="B194" s="1329" t="s">
        <v>2090</v>
      </c>
      <c r="C194" s="1331">
        <v>124029.35</v>
      </c>
      <c r="D194" s="1331">
        <v>0</v>
      </c>
      <c r="E194" s="1331">
        <v>124029.35</v>
      </c>
      <c r="F194" s="1329" t="s">
        <v>1110</v>
      </c>
      <c r="G194" s="1329" t="s">
        <v>987</v>
      </c>
      <c r="H194" s="1329" t="s">
        <v>3942</v>
      </c>
      <c r="I194" s="652"/>
      <c r="J194" s="652"/>
      <c r="K194" s="652"/>
      <c r="L194" s="653" t="str">
        <f t="shared" si="171"/>
        <v>5127</v>
      </c>
      <c r="M194" s="654" t="str">
        <f t="shared" si="172"/>
        <v>C/V - GOLF GTI</v>
      </c>
      <c r="N194" s="655">
        <f>+IF(OR($Q194=Parametres!$G$2,$Q194=Parametres!$G$3),I194,C194)</f>
        <v>124029.35</v>
      </c>
      <c r="O194" s="655">
        <f>+IF(OR($Q194=Parametres!$G$2,$Q194=Parametres!$G$3),J194,D194)</f>
        <v>0</v>
      </c>
      <c r="P194" s="655">
        <f>+IF(OR($Q194=Parametres!$G$2,$Q194=Parametres!$G$3),K194,E194)</f>
        <v>124029.35</v>
      </c>
      <c r="Q194" s="654" t="str">
        <f t="shared" si="173"/>
        <v>6-Coût des ventes</v>
      </c>
      <c r="R194" s="653" t="str">
        <f t="shared" si="174"/>
        <v>4127</v>
      </c>
      <c r="S194" s="654" t="str">
        <f t="shared" si="175"/>
        <v>_</v>
      </c>
      <c r="T194" s="656" t="str">
        <f>+VLOOKUP($L194,Data_Validation!$A:$D,1,0)</f>
        <v>5127</v>
      </c>
      <c r="U194" s="656" t="str">
        <f>+VLOOKUP($L194,Data_Validation!$A:$D,3,0)</f>
        <v>Véhicules neufs</v>
      </c>
      <c r="V194" s="656" t="str">
        <f>+VLOOKUP($L194,Data_Validation!$A:$D,4,0)</f>
        <v>Autos détail</v>
      </c>
      <c r="W194" s="656" t="str">
        <f>+VLOOKUP($L194,Data_Validation!$A:$E,5,0)</f>
        <v>$</v>
      </c>
      <c r="X194" s="656">
        <f>+VLOOKUP($L194,Data_Validation!$A:$F,6,0)</f>
        <v>0</v>
      </c>
    </row>
    <row r="195" spans="1:24" ht="15" customHeight="1">
      <c r="A195" s="1329" t="s">
        <v>1117</v>
      </c>
      <c r="B195" s="1329" t="s">
        <v>2093</v>
      </c>
      <c r="C195" s="1331">
        <v>812717.76</v>
      </c>
      <c r="D195" s="1331">
        <v>822928.24</v>
      </c>
      <c r="E195" s="1331">
        <v>1635646</v>
      </c>
      <c r="F195" s="1329" t="s">
        <v>1110</v>
      </c>
      <c r="G195" s="1329" t="s">
        <v>991</v>
      </c>
      <c r="H195" s="1329" t="s">
        <v>3942</v>
      </c>
      <c r="I195" s="670"/>
      <c r="J195" s="651"/>
      <c r="K195" s="670"/>
      <c r="L195" s="653" t="str">
        <f t="shared" si="171"/>
        <v>5131</v>
      </c>
      <c r="M195" s="654" t="str">
        <f t="shared" si="172"/>
        <v>C/V - TIGUAN LWB</v>
      </c>
      <c r="N195" s="655">
        <f>+IF(OR($Q195=Parametres!$G$2,$Q195=Parametres!$G$3),I195,C195)</f>
        <v>812717.76</v>
      </c>
      <c r="O195" s="655">
        <f>+IF(OR($Q195=Parametres!$G$2,$Q195=Parametres!$G$3),J195,D195)</f>
        <v>822928.24</v>
      </c>
      <c r="P195" s="655">
        <f>+IF(OR($Q195=Parametres!$G$2,$Q195=Parametres!$G$3),K195,E195)</f>
        <v>1635646</v>
      </c>
      <c r="Q195" s="654" t="str">
        <f t="shared" si="173"/>
        <v>6-Coût des ventes</v>
      </c>
      <c r="R195" s="653" t="str">
        <f t="shared" si="174"/>
        <v>4131</v>
      </c>
      <c r="S195" s="654" t="str">
        <f t="shared" si="175"/>
        <v>_</v>
      </c>
      <c r="T195" s="656" t="str">
        <f>+VLOOKUP($L195,Data_Validation!$A:$D,1,0)</f>
        <v>5131</v>
      </c>
      <c r="U195" s="656" t="str">
        <f>+VLOOKUP($L195,Data_Validation!$A:$D,3,0)</f>
        <v>Véhicules neufs</v>
      </c>
      <c r="V195" s="656" t="str">
        <f>+VLOOKUP($L195,Data_Validation!$A:$D,4,0)</f>
        <v>Camions détail</v>
      </c>
      <c r="W195" s="656" t="str">
        <f>+VLOOKUP($L195,Data_Validation!$A:$E,5,0)</f>
        <v>$</v>
      </c>
      <c r="X195" s="656">
        <f>+VLOOKUP($L195,Data_Validation!$A:$F,6,0)</f>
        <v>0</v>
      </c>
    </row>
    <row r="196" spans="1:24" ht="15" customHeight="1">
      <c r="A196" s="1329" t="s">
        <v>1118</v>
      </c>
      <c r="B196" s="1329" t="s">
        <v>2099</v>
      </c>
      <c r="C196" s="1331">
        <v>216902.15</v>
      </c>
      <c r="D196" s="1331">
        <v>274746.12</v>
      </c>
      <c r="E196" s="1331">
        <v>491648.27</v>
      </c>
      <c r="F196" s="1329" t="s">
        <v>1110</v>
      </c>
      <c r="G196" s="1329" t="s">
        <v>995</v>
      </c>
      <c r="H196" s="1329" t="s">
        <v>3942</v>
      </c>
      <c r="I196" s="652"/>
      <c r="J196" s="652"/>
      <c r="K196" s="652"/>
      <c r="L196" s="653" t="str">
        <f t="shared" si="171"/>
        <v>5137</v>
      </c>
      <c r="M196" s="654" t="str">
        <f t="shared" si="172"/>
        <v>C/V - VW FLOTTE/VENTE ENTR/EMPLOYE/VEH DEMONS</v>
      </c>
      <c r="N196" s="655">
        <f>+IF(OR($Q196=Parametres!$G$2,$Q196=Parametres!$G$3),I196,C196)</f>
        <v>216902.15</v>
      </c>
      <c r="O196" s="655">
        <f>+IF(OR($Q196=Parametres!$G$2,$Q196=Parametres!$G$3),J196,D196)</f>
        <v>274746.12</v>
      </c>
      <c r="P196" s="655">
        <f>+IF(OR($Q196=Parametres!$G$2,$Q196=Parametres!$G$3),K196,E196)</f>
        <v>491648.27</v>
      </c>
      <c r="Q196" s="654" t="str">
        <f t="shared" si="173"/>
        <v>6-Coût des ventes</v>
      </c>
      <c r="R196" s="653" t="str">
        <f t="shared" si="174"/>
        <v>4137</v>
      </c>
      <c r="S196" s="654" t="str">
        <f t="shared" si="175"/>
        <v>_</v>
      </c>
      <c r="T196" s="656" t="str">
        <f>+VLOOKUP($L196,Data_Validation!$A:$D,1,0)</f>
        <v>5137</v>
      </c>
      <c r="U196" s="656" t="str">
        <f>+VLOOKUP($L196,Data_Validation!$A:$D,3,0)</f>
        <v>Véhicules neufs</v>
      </c>
      <c r="V196" s="656" t="str">
        <f>+VLOOKUP($L196,Data_Validation!$A:$D,4,0)</f>
        <v>Flottes</v>
      </c>
      <c r="W196" s="656" t="str">
        <f>+VLOOKUP($L196,Data_Validation!$A:$E,5,0)</f>
        <v>$</v>
      </c>
      <c r="X196" s="656">
        <f>+VLOOKUP($L196,Data_Validation!$A:$F,6,0)</f>
        <v>0</v>
      </c>
    </row>
    <row r="197" spans="1:24" ht="15" customHeight="1">
      <c r="A197" s="1329" t="s">
        <v>1118</v>
      </c>
      <c r="B197" s="1329" t="s">
        <v>2102</v>
      </c>
      <c r="C197" s="1331">
        <v>35732.269999999997</v>
      </c>
      <c r="D197" s="1331">
        <v>55660.78</v>
      </c>
      <c r="E197" s="1331">
        <v>91393.05</v>
      </c>
      <c r="F197" s="1329" t="s">
        <v>1110</v>
      </c>
      <c r="G197" s="1329" t="s">
        <v>999</v>
      </c>
      <c r="H197" s="1329" t="s">
        <v>3942</v>
      </c>
      <c r="I197" s="651"/>
      <c r="J197" s="651"/>
      <c r="K197" s="670"/>
      <c r="L197" s="653" t="str">
        <f t="shared" si="171"/>
        <v>5139</v>
      </c>
      <c r="M197" s="654" t="str">
        <f t="shared" si="172"/>
        <v>C/V - VW FLOTTE/VENTE ENTR/EMPLOYE/VEH DEMONS</v>
      </c>
      <c r="N197" s="655">
        <f>+IF(OR($Q197=Parametres!$G$2,$Q197=Parametres!$G$3),I197,C197)</f>
        <v>35732.269999999997</v>
      </c>
      <c r="O197" s="659">
        <f>+IF(OR($Q197=Parametres!$G$2,$Q197=Parametres!$G$3),J197,D197)</f>
        <v>55660.78</v>
      </c>
      <c r="P197" s="655">
        <f>+IF(OR($Q197=Parametres!$G$2,$Q197=Parametres!$G$3),K197,E197)</f>
        <v>91393.05</v>
      </c>
      <c r="Q197" s="654" t="str">
        <f t="shared" si="173"/>
        <v>6-Coût des ventes</v>
      </c>
      <c r="R197" s="653" t="str">
        <f t="shared" si="174"/>
        <v>4139</v>
      </c>
      <c r="S197" s="654" t="str">
        <f t="shared" si="175"/>
        <v>_</v>
      </c>
      <c r="T197" s="656" t="str">
        <f>+VLOOKUP($L197,Data_Validation!$A:$D,1,0)</f>
        <v>5139</v>
      </c>
      <c r="U197" s="656" t="str">
        <f>+VLOOKUP($L197,Data_Validation!$A:$D,3,0)</f>
        <v>Véhicules neufs</v>
      </c>
      <c r="V197" s="656" t="str">
        <f>+VLOOKUP($L197,Data_Validation!$A:$D,4,0)</f>
        <v>Ex-Démos et courtoisies</v>
      </c>
      <c r="W197" s="656" t="str">
        <f>+VLOOKUP($L197,Data_Validation!$A:$E,5,0)</f>
        <v>$</v>
      </c>
      <c r="X197" s="656">
        <f>+VLOOKUP($L197,Data_Validation!$A:$F,6,0)</f>
        <v>0</v>
      </c>
    </row>
    <row r="198" spans="1:24" ht="15" customHeight="1">
      <c r="A198" s="1329" t="s">
        <v>1119</v>
      </c>
      <c r="B198" s="1329" t="s">
        <v>3385</v>
      </c>
      <c r="C198" s="1331">
        <v>83923.58</v>
      </c>
      <c r="D198" s="1331">
        <v>146</v>
      </c>
      <c r="E198" s="1331">
        <v>84069.58</v>
      </c>
      <c r="F198" s="1329" t="s">
        <v>1110</v>
      </c>
      <c r="G198" s="1329" t="s">
        <v>1120</v>
      </c>
      <c r="H198" s="1329" t="s">
        <v>3942</v>
      </c>
      <c r="I198" s="652"/>
      <c r="J198" s="652"/>
      <c r="K198" s="652"/>
      <c r="L198" s="653" t="str">
        <f t="shared" si="171"/>
        <v>5144</v>
      </c>
      <c r="M198" s="654" t="str">
        <f t="shared" si="172"/>
        <v>C/V - JETTA GLI</v>
      </c>
      <c r="N198" s="655">
        <f>+IF(OR($Q198=Parametres!$G$2,$Q198=Parametres!$G$3),I198,C198)</f>
        <v>83923.58</v>
      </c>
      <c r="O198" s="655">
        <f>+IF(OR($Q198=Parametres!$G$2,$Q198=Parametres!$G$3),J198,D198)</f>
        <v>146</v>
      </c>
      <c r="P198" s="655">
        <f>+IF(OR($Q198=Parametres!$G$2,$Q198=Parametres!$G$3),K198,E198)</f>
        <v>84069.58</v>
      </c>
      <c r="Q198" s="654" t="str">
        <f t="shared" si="173"/>
        <v>6-Coût des ventes</v>
      </c>
      <c r="R198" s="653" t="str">
        <f t="shared" si="174"/>
        <v>514</v>
      </c>
      <c r="S198" s="654" t="str">
        <f t="shared" si="175"/>
        <v>_</v>
      </c>
      <c r="T198" s="656" t="str">
        <f>+VLOOKUP($L198,Data_Validation!$A:$D,1,0)</f>
        <v>5144</v>
      </c>
      <c r="U198" s="656" t="str">
        <f>+VLOOKUP($L198,Data_Validation!$A:$D,3,0)</f>
        <v>Véhicules neufs</v>
      </c>
      <c r="V198" s="656" t="str">
        <f>+VLOOKUP($L198,Data_Validation!$A:$D,4,0)</f>
        <v>Autos détail</v>
      </c>
      <c r="W198" s="656" t="str">
        <f>+VLOOKUP($L198,Data_Validation!$A:$E,5,0)</f>
        <v>$</v>
      </c>
      <c r="X198" s="656">
        <f>+VLOOKUP($L198,Data_Validation!$A:$F,6,0)</f>
        <v>0</v>
      </c>
    </row>
    <row r="199" spans="1:24" ht="15.75" customHeight="1">
      <c r="A199" s="1329" t="s">
        <v>1121</v>
      </c>
      <c r="B199" s="1329" t="s">
        <v>2113</v>
      </c>
      <c r="C199" s="1331">
        <v>830122.17</v>
      </c>
      <c r="D199" s="1331">
        <v>374599.36</v>
      </c>
      <c r="E199" s="1331">
        <v>1204721.53</v>
      </c>
      <c r="F199" s="1329" t="s">
        <v>1110</v>
      </c>
      <c r="G199" s="1329" t="s">
        <v>1007</v>
      </c>
      <c r="H199" s="1329" t="s">
        <v>3942</v>
      </c>
      <c r="I199" s="670"/>
      <c r="J199" s="651"/>
      <c r="K199" s="670"/>
      <c r="L199" s="653" t="str">
        <f t="shared" si="171"/>
        <v>5201</v>
      </c>
      <c r="M199" s="654" t="str">
        <f t="shared" si="172"/>
        <v>C/V - VEH.USAGE VW DETAIL CERTIFIE</v>
      </c>
      <c r="N199" s="655">
        <f>+IF(OR($Q199=Parametres!$G$2,$Q199=Parametres!$G$3),I199,C199)</f>
        <v>830122.17</v>
      </c>
      <c r="O199" s="655">
        <f>+IF(OR($Q199=Parametres!$G$2,$Q199=Parametres!$G$3),J199,D199)</f>
        <v>374599.36</v>
      </c>
      <c r="P199" s="655">
        <f>+IF(OR($Q199=Parametres!$G$2,$Q199=Parametres!$G$3),K199,E199)</f>
        <v>1204721.53</v>
      </c>
      <c r="Q199" s="654" t="str">
        <f t="shared" si="173"/>
        <v>6-Coût des ventes</v>
      </c>
      <c r="R199" s="653" t="str">
        <f t="shared" si="174"/>
        <v>4201</v>
      </c>
      <c r="S199" s="654" t="str">
        <f t="shared" si="175"/>
        <v>_</v>
      </c>
      <c r="T199" s="656" t="str">
        <f>+VLOOKUP($L199,Data_Validation!$A:$D,1,0)</f>
        <v>5201</v>
      </c>
      <c r="U199" s="656" t="str">
        <f>+VLOOKUP($L199,Data_Validation!$A:$D,3,0)</f>
        <v>Véhicules usagés</v>
      </c>
      <c r="V199" s="656" t="str">
        <f>+VLOOKUP($L199,Data_Validation!$A:$D,4,0)</f>
        <v>Certifié</v>
      </c>
      <c r="W199" s="656" t="str">
        <f>+VLOOKUP($L199,Data_Validation!$A:$E,5,0)</f>
        <v>$</v>
      </c>
      <c r="X199" s="656">
        <f>+VLOOKUP($L199,Data_Validation!$A:$F,6,0)</f>
        <v>0</v>
      </c>
    </row>
    <row r="200" spans="1:24" ht="15" customHeight="1">
      <c r="A200" s="1329" t="s">
        <v>1122</v>
      </c>
      <c r="B200" s="1329" t="s">
        <v>2116</v>
      </c>
      <c r="C200" s="1331">
        <v>98628.61</v>
      </c>
      <c r="D200" s="1331">
        <v>48777.69</v>
      </c>
      <c r="E200" s="1331">
        <v>147406.29999999999</v>
      </c>
      <c r="F200" s="1329" t="s">
        <v>1110</v>
      </c>
      <c r="G200" s="1329" t="s">
        <v>1007</v>
      </c>
      <c r="H200" s="1329" t="s">
        <v>3942</v>
      </c>
      <c r="I200" s="652"/>
      <c r="J200" s="652"/>
      <c r="K200" s="652"/>
      <c r="L200" s="653" t="str">
        <f t="shared" si="171"/>
        <v>5203</v>
      </c>
      <c r="M200" s="654" t="str">
        <f t="shared" si="172"/>
        <v>C/V - RECOND USAGE VW CERT.</v>
      </c>
      <c r="N200" s="655">
        <f>+IF(OR($Q200=Parametres!$G$2,$Q200=Parametres!$G$3),I200,C200)</f>
        <v>98628.61</v>
      </c>
      <c r="O200" s="655">
        <f>+IF(OR($Q200=Parametres!$G$2,$Q200=Parametres!$G$3),J200,D200)</f>
        <v>48777.69</v>
      </c>
      <c r="P200" s="655">
        <f>+IF(OR($Q200=Parametres!$G$2,$Q200=Parametres!$G$3),K200,E200)</f>
        <v>147406.29999999999</v>
      </c>
      <c r="Q200" s="654" t="str">
        <f t="shared" si="173"/>
        <v>6-Coût des ventes</v>
      </c>
      <c r="R200" s="653" t="str">
        <f t="shared" si="174"/>
        <v>4201</v>
      </c>
      <c r="S200" s="654" t="str">
        <f t="shared" si="175"/>
        <v>_</v>
      </c>
      <c r="T200" s="656" t="str">
        <f>+VLOOKUP($L200,Data_Validation!$A:$D,1,0)</f>
        <v>5203</v>
      </c>
      <c r="U200" s="656" t="str">
        <f>+VLOOKUP($L200,Data_Validation!$A:$D,3,0)</f>
        <v>Véhicules usagés</v>
      </c>
      <c r="V200" s="656" t="str">
        <f>+VLOOKUP($L200,Data_Validation!$A:$D,4,0)</f>
        <v>Certifié</v>
      </c>
      <c r="W200" s="656" t="str">
        <f>+VLOOKUP($L200,Data_Validation!$A:$E,5,0)</f>
        <v>$</v>
      </c>
      <c r="X200" s="656">
        <f>+VLOOKUP($L200,Data_Validation!$A:$F,6,0)</f>
        <v>0</v>
      </c>
    </row>
    <row r="201" spans="1:24" ht="15" customHeight="1">
      <c r="A201" s="1329" t="s">
        <v>1014</v>
      </c>
      <c r="B201" s="1329" t="s">
        <v>2136</v>
      </c>
      <c r="C201" s="1331">
        <v>61711.75</v>
      </c>
      <c r="D201" s="1331">
        <v>13140</v>
      </c>
      <c r="E201" s="1331">
        <v>74851.75</v>
      </c>
      <c r="F201" s="1329" t="s">
        <v>1110</v>
      </c>
      <c r="G201" s="1329" t="s">
        <v>1015</v>
      </c>
      <c r="H201" s="1329" t="s">
        <v>3942</v>
      </c>
      <c r="I201" s="652"/>
      <c r="J201" s="652"/>
      <c r="K201" s="652"/>
      <c r="L201" s="653" t="str">
        <f t="shared" si="171"/>
        <v>5285</v>
      </c>
      <c r="M201" s="654" t="str">
        <f t="shared" si="172"/>
        <v>VEH. D'OCC. AUTRE DETAIL</v>
      </c>
      <c r="N201" s="655">
        <f>+IF(OR($Q201=Parametres!$G$2,$Q201=Parametres!$G$3),I201,C201)</f>
        <v>61711.75</v>
      </c>
      <c r="O201" s="655">
        <f>+IF(OR($Q201=Parametres!$G$2,$Q201=Parametres!$G$3),J201,D201)</f>
        <v>13140</v>
      </c>
      <c r="P201" s="655">
        <f>+IF(OR($Q201=Parametres!$G$2,$Q201=Parametres!$G$3),K201,E201)</f>
        <v>74851.75</v>
      </c>
      <c r="Q201" s="654" t="str">
        <f t="shared" si="173"/>
        <v>6-Coût des ventes</v>
      </c>
      <c r="R201" s="653" t="str">
        <f t="shared" si="174"/>
        <v>4261</v>
      </c>
      <c r="S201" s="654" t="str">
        <f t="shared" si="175"/>
        <v>_</v>
      </c>
      <c r="T201" s="656" t="str">
        <f>+VLOOKUP($L201,Data_Validation!$A:$D,1,0)</f>
        <v>5285</v>
      </c>
      <c r="U201" s="656" t="str">
        <f>+VLOOKUP($L201,Data_Validation!$A:$D,3,0)</f>
        <v>Véhicules usagés</v>
      </c>
      <c r="V201" s="656" t="str">
        <f>+VLOOKUP($L201,Data_Validation!$A:$D,4,0)</f>
        <v>Autres Marques</v>
      </c>
      <c r="W201" s="656" t="str">
        <f>+VLOOKUP($L201,Data_Validation!$A:$E,5,0)</f>
        <v>$</v>
      </c>
      <c r="X201" s="656">
        <f>+VLOOKUP($L201,Data_Validation!$A:$F,6,0)</f>
        <v>0</v>
      </c>
    </row>
    <row r="202" spans="1:24" ht="15" customHeight="1">
      <c r="A202" s="1329" t="s">
        <v>1125</v>
      </c>
      <c r="B202" s="1329" t="s">
        <v>2139</v>
      </c>
      <c r="C202" s="1331">
        <v>1444.65</v>
      </c>
      <c r="D202" s="1331">
        <v>1602.21</v>
      </c>
      <c r="E202" s="1331">
        <v>3046.86</v>
      </c>
      <c r="F202" s="1329" t="s">
        <v>1110</v>
      </c>
      <c r="G202" s="1329" t="s">
        <v>1015</v>
      </c>
      <c r="H202" s="1329" t="s">
        <v>3942</v>
      </c>
      <c r="I202" s="652"/>
      <c r="J202" s="652"/>
      <c r="K202" s="652"/>
      <c r="L202" s="653" t="str">
        <f t="shared" si="171"/>
        <v>5286</v>
      </c>
      <c r="M202" s="654" t="str">
        <f t="shared" si="172"/>
        <v>RECOND. AUTRE DETAIL</v>
      </c>
      <c r="N202" s="655">
        <f>+IF(OR($Q202=Parametres!$G$2,$Q202=Parametres!$G$3),I202,C202)</f>
        <v>1444.65</v>
      </c>
      <c r="O202" s="655">
        <f>+IF(OR($Q202=Parametres!$G$2,$Q202=Parametres!$G$3),J202,D202)</f>
        <v>1602.21</v>
      </c>
      <c r="P202" s="655">
        <f>+IF(OR($Q202=Parametres!$G$2,$Q202=Parametres!$G$3),K202,E202)</f>
        <v>3046.86</v>
      </c>
      <c r="Q202" s="654" t="str">
        <f t="shared" si="173"/>
        <v>6-Coût des ventes</v>
      </c>
      <c r="R202" s="653" t="str">
        <f t="shared" si="174"/>
        <v>4261</v>
      </c>
      <c r="S202" s="654" t="str">
        <f t="shared" si="175"/>
        <v>_</v>
      </c>
      <c r="T202" s="656" t="str">
        <f>+VLOOKUP($L202,Data_Validation!$A:$D,1,0)</f>
        <v>5286</v>
      </c>
      <c r="U202" s="656" t="str">
        <f>+VLOOKUP($L202,Data_Validation!$A:$D,3,0)</f>
        <v>Véhicules usagés</v>
      </c>
      <c r="V202" s="656" t="str">
        <f>+VLOOKUP($L202,Data_Validation!$A:$D,4,0)</f>
        <v>Non Certifié</v>
      </c>
      <c r="W202" s="656" t="str">
        <f>+VLOOKUP($L202,Data_Validation!$A:$E,5,0)</f>
        <v>$</v>
      </c>
      <c r="X202" s="656">
        <f>+VLOOKUP($L202,Data_Validation!$A:$F,6,0)</f>
        <v>0</v>
      </c>
    </row>
    <row r="203" spans="1:24" ht="15" customHeight="1">
      <c r="A203" s="1329" t="s">
        <v>1018</v>
      </c>
      <c r="B203" s="1329" t="s">
        <v>2142</v>
      </c>
      <c r="C203" s="1331">
        <v>157000</v>
      </c>
      <c r="D203" s="1331">
        <v>222903.06</v>
      </c>
      <c r="E203" s="1331">
        <v>379903.06</v>
      </c>
      <c r="F203" s="1329" t="s">
        <v>1110</v>
      </c>
      <c r="G203" s="1329" t="s">
        <v>1019</v>
      </c>
      <c r="H203" s="1329" t="s">
        <v>3942</v>
      </c>
      <c r="I203" s="660"/>
      <c r="J203" s="660"/>
      <c r="K203" s="660"/>
      <c r="L203" s="653" t="str">
        <f t="shared" si="171"/>
        <v>5291</v>
      </c>
      <c r="M203" s="654" t="str">
        <f t="shared" si="172"/>
        <v>VEH. D'OCC. AU GROS</v>
      </c>
      <c r="N203" s="655">
        <f>+IF(OR($Q203=Parametres!$G$2,$Q203=Parametres!$G$3),I203,C203)</f>
        <v>157000</v>
      </c>
      <c r="O203" s="655">
        <f>+IF(OR($Q203=Parametres!$G$2,$Q203=Parametres!$G$3),J203,D203)</f>
        <v>222903.06</v>
      </c>
      <c r="P203" s="655">
        <f>+IF(OR($Q203=Parametres!$G$2,$Q203=Parametres!$G$3),K203,E203)</f>
        <v>379903.06</v>
      </c>
      <c r="Q203" s="654" t="str">
        <f t="shared" si="173"/>
        <v>6-Coût des ventes</v>
      </c>
      <c r="R203" s="653" t="str">
        <f t="shared" si="174"/>
        <v>4281</v>
      </c>
      <c r="S203" s="654" t="str">
        <f t="shared" si="175"/>
        <v>_</v>
      </c>
      <c r="T203" s="656" t="str">
        <f>+VLOOKUP($L203,Data_Validation!$A:$D,1,0)</f>
        <v>5291</v>
      </c>
      <c r="U203" s="656" t="str">
        <f>+VLOOKUP($L203,Data_Validation!$A:$D,3,0)</f>
        <v>Véhicules usagés</v>
      </c>
      <c r="V203" s="656" t="str">
        <f>+VLOOKUP($L203,Data_Validation!$A:$D,4,0)</f>
        <v>Ventes au Gros</v>
      </c>
      <c r="W203" s="656" t="str">
        <f>+VLOOKUP($L203,Data_Validation!$A:$E,5,0)</f>
        <v>$</v>
      </c>
      <c r="X203" s="656">
        <f>+VLOOKUP($L203,Data_Validation!$A:$F,6,0)</f>
        <v>0</v>
      </c>
    </row>
    <row r="204" spans="1:24" ht="15" customHeight="1">
      <c r="A204" s="1329" t="s">
        <v>3670</v>
      </c>
      <c r="B204" s="1329" t="s">
        <v>2145</v>
      </c>
      <c r="C204" s="1331">
        <v>23418.66</v>
      </c>
      <c r="D204" s="1331">
        <v>19846.349999999999</v>
      </c>
      <c r="E204" s="1331">
        <v>43265.01</v>
      </c>
      <c r="F204" s="1329" t="s">
        <v>1110</v>
      </c>
      <c r="G204" s="1329" t="s">
        <v>1023</v>
      </c>
      <c r="H204" s="1329" t="s">
        <v>3942</v>
      </c>
      <c r="I204" s="652"/>
      <c r="J204" s="652"/>
      <c r="K204" s="652"/>
      <c r="L204" s="653" t="str">
        <f t="shared" si="171"/>
        <v>5401</v>
      </c>
      <c r="M204" s="654" t="str">
        <f t="shared" si="172"/>
        <v>MAIN-D'OEUVRE - CLIENT VW - MCI</v>
      </c>
      <c r="N204" s="655">
        <f>+IF(OR($Q204=Parametres!$G$2,$Q204=Parametres!$G$3),I204,C204)</f>
        <v>23418.66</v>
      </c>
      <c r="O204" s="659">
        <f>+IF(OR($Q204=Parametres!$G$2,$Q204=Parametres!$G$3),J204,D204)</f>
        <v>19846.349999999999</v>
      </c>
      <c r="P204" s="655">
        <f>+IF(OR($Q204=Parametres!$G$2,$Q204=Parametres!$G$3),K204,E204)</f>
        <v>43265.01</v>
      </c>
      <c r="Q204" s="654" t="str">
        <f t="shared" si="173"/>
        <v>6-Coût des ventes</v>
      </c>
      <c r="R204" s="653" t="str">
        <f t="shared" si="174"/>
        <v>4401</v>
      </c>
      <c r="S204" s="654" t="str">
        <f t="shared" si="175"/>
        <v>_</v>
      </c>
      <c r="T204" s="656" t="str">
        <f>+VLOOKUP($L204,Data_Validation!$A:$D,1,0)</f>
        <v>5401</v>
      </c>
      <c r="U204" s="656" t="str">
        <f>+VLOOKUP($L204,Data_Validation!$A:$D,3,0)</f>
        <v>Service</v>
      </c>
      <c r="V204" s="656" t="str">
        <f>+VLOOKUP($L204,Data_Validation!$A:$D,4,0)</f>
        <v>M/O Client</v>
      </c>
      <c r="W204" s="656" t="str">
        <f>+VLOOKUP($L204,Data_Validation!$A:$E,5,0)</f>
        <v>$</v>
      </c>
      <c r="X204" s="656">
        <f>+VLOOKUP($L204,Data_Validation!$A:$F,6,0)</f>
        <v>0</v>
      </c>
    </row>
    <row r="205" spans="1:24" ht="15" customHeight="1">
      <c r="A205" s="1329" t="s">
        <v>1127</v>
      </c>
      <c r="B205" s="1329" t="s">
        <v>2148</v>
      </c>
      <c r="C205" s="1331">
        <v>2339.48</v>
      </c>
      <c r="D205" s="1331">
        <v>908.46</v>
      </c>
      <c r="E205" s="1331">
        <v>3247.94</v>
      </c>
      <c r="F205" s="1329" t="s">
        <v>1110</v>
      </c>
      <c r="G205" s="1329" t="s">
        <v>1026</v>
      </c>
      <c r="H205" s="1329" t="s">
        <v>3942</v>
      </c>
      <c r="I205" s="670"/>
      <c r="J205" s="651"/>
      <c r="K205" s="670"/>
      <c r="L205" s="653" t="str">
        <f t="shared" si="171"/>
        <v>5402</v>
      </c>
      <c r="M205" s="654" t="str">
        <f t="shared" si="172"/>
        <v>C/V - M.O. ESTHETIQUE CLIENT</v>
      </c>
      <c r="N205" s="655">
        <f>+IF(OR($Q205=Parametres!$G$2,$Q205=Parametres!$G$3),I205,C205)</f>
        <v>2339.48</v>
      </c>
      <c r="O205" s="655">
        <f>+IF(OR($Q205=Parametres!$G$2,$Q205=Parametres!$G$3),J205,D205)</f>
        <v>908.46</v>
      </c>
      <c r="P205" s="655">
        <f>+IF(OR($Q205=Parametres!$G$2,$Q205=Parametres!$G$3),K205,E205)</f>
        <v>3247.94</v>
      </c>
      <c r="Q205" s="654" t="str">
        <f t="shared" si="173"/>
        <v>6-Coût des ventes</v>
      </c>
      <c r="R205" s="653" t="str">
        <f t="shared" si="174"/>
        <v>4402</v>
      </c>
      <c r="S205" s="654" t="str">
        <f t="shared" si="175"/>
        <v>_</v>
      </c>
      <c r="T205" s="671" t="str">
        <f>+VLOOKUP($L205,Data_Validation!$A:$D,1,0)</f>
        <v>5402</v>
      </c>
      <c r="U205" s="656" t="str">
        <f>+VLOOKUP($L205,Data_Validation!$A:$D,3,0)</f>
        <v>Service</v>
      </c>
      <c r="V205" s="656" t="str">
        <f>+VLOOKUP($L205,Data_Validation!$A:$D,4,0)</f>
        <v>M/O Esthétique</v>
      </c>
      <c r="W205" s="656" t="str">
        <f>+VLOOKUP($L205,Data_Validation!$A:$E,5,0)</f>
        <v>$</v>
      </c>
      <c r="X205" s="656">
        <f>+VLOOKUP($L205,Data_Validation!$A:$F,6,0)</f>
        <v>0</v>
      </c>
    </row>
    <row r="206" spans="1:24" ht="15.75" customHeight="1">
      <c r="A206" s="1329" t="s">
        <v>3671</v>
      </c>
      <c r="B206" s="1329" t="s">
        <v>2151</v>
      </c>
      <c r="C206" s="1331">
        <v>26276.22</v>
      </c>
      <c r="D206" s="1331">
        <v>25405.02</v>
      </c>
      <c r="E206" s="1331">
        <v>51681.24</v>
      </c>
      <c r="F206" s="1329" t="s">
        <v>1110</v>
      </c>
      <c r="G206" s="1329" t="s">
        <v>1028</v>
      </c>
      <c r="H206" s="1329" t="s">
        <v>3942</v>
      </c>
      <c r="I206" s="652"/>
      <c r="J206" s="652"/>
      <c r="K206" s="652"/>
      <c r="L206" s="653" t="str">
        <f t="shared" si="171"/>
        <v>5403</v>
      </c>
      <c r="M206" s="654" t="str">
        <f t="shared" si="172"/>
        <v>MAIN-D'OEUVRE - GARANTIE VW - MCI</v>
      </c>
      <c r="N206" s="655">
        <f>+IF(OR($Q206=Parametres!$G$2,$Q206=Parametres!$G$3),I206,C206)</f>
        <v>26276.22</v>
      </c>
      <c r="O206" s="655">
        <f>+IF(OR($Q206=Parametres!$G$2,$Q206=Parametres!$G$3),J206,D206)</f>
        <v>25405.02</v>
      </c>
      <c r="P206" s="655">
        <f>+IF(OR($Q206=Parametres!$G$2,$Q206=Parametres!$G$3),K206,E206)</f>
        <v>51681.24</v>
      </c>
      <c r="Q206" s="654" t="str">
        <f t="shared" si="173"/>
        <v>6-Coût des ventes</v>
      </c>
      <c r="R206" s="653" t="str">
        <f t="shared" si="174"/>
        <v>4403</v>
      </c>
      <c r="S206" s="654" t="str">
        <f t="shared" si="175"/>
        <v>_</v>
      </c>
      <c r="T206" s="656" t="str">
        <f>+VLOOKUP($L206,Data_Validation!$A:$D,1,0)</f>
        <v>5403</v>
      </c>
      <c r="U206" s="656" t="str">
        <f>+VLOOKUP($L206,Data_Validation!$A:$D,3,0)</f>
        <v>Service</v>
      </c>
      <c r="V206" s="656" t="str">
        <f>+VLOOKUP($L206,Data_Validation!$A:$D,4,0)</f>
        <v>M/O Garantie</v>
      </c>
      <c r="W206" s="656" t="str">
        <f>+VLOOKUP($L206,Data_Validation!$A:$E,5,0)</f>
        <v>$</v>
      </c>
      <c r="X206" s="656">
        <f>+VLOOKUP($L206,Data_Validation!$A:$F,6,0)</f>
        <v>0</v>
      </c>
    </row>
    <row r="207" spans="1:24" ht="15" customHeight="1">
      <c r="A207" s="1329" t="s">
        <v>3672</v>
      </c>
      <c r="B207" s="1329" t="s">
        <v>2154</v>
      </c>
      <c r="C207" s="1331">
        <v>18060.38</v>
      </c>
      <c r="D207" s="1331">
        <v>21946.69</v>
      </c>
      <c r="E207" s="1331">
        <v>40007.07</v>
      </c>
      <c r="F207" s="1329" t="s">
        <v>1110</v>
      </c>
      <c r="G207" s="1329" t="s">
        <v>1031</v>
      </c>
      <c r="H207" s="1329" t="s">
        <v>3942</v>
      </c>
      <c r="I207" s="670"/>
      <c r="J207" s="651"/>
      <c r="K207" s="670"/>
      <c r="L207" s="653" t="str">
        <f t="shared" si="171"/>
        <v>5405</v>
      </c>
      <c r="M207" s="654" t="str">
        <f t="shared" si="172"/>
        <v>MAIN-D'OEUVRE - INTERNE VW - MCI</v>
      </c>
      <c r="N207" s="655">
        <f>+IF(OR($Q207=Parametres!$G$2,$Q207=Parametres!$G$3),I207,C207)</f>
        <v>18060.38</v>
      </c>
      <c r="O207" s="659">
        <f>+IF(OR($Q207=Parametres!$G$2,$Q207=Parametres!$G$3),J207,D207)</f>
        <v>21946.69</v>
      </c>
      <c r="P207" s="655">
        <f>+IF(OR($Q207=Parametres!$G$2,$Q207=Parametres!$G$3),K207,E207)</f>
        <v>40007.07</v>
      </c>
      <c r="Q207" s="654" t="str">
        <f t="shared" si="173"/>
        <v>6-Coût des ventes</v>
      </c>
      <c r="R207" s="653" t="str">
        <f t="shared" si="174"/>
        <v>4405</v>
      </c>
      <c r="S207" s="654" t="str">
        <f t="shared" si="175"/>
        <v>_</v>
      </c>
      <c r="T207" s="656" t="str">
        <f>+VLOOKUP($L207,Data_Validation!$A:$D,1,0)</f>
        <v>5405</v>
      </c>
      <c r="U207" s="656" t="str">
        <f>+VLOOKUP($L207,Data_Validation!$A:$D,3,0)</f>
        <v>Service</v>
      </c>
      <c r="V207" s="656" t="str">
        <f>+VLOOKUP($L207,Data_Validation!$A:$D,4,0)</f>
        <v>M/O Interne</v>
      </c>
      <c r="W207" s="656" t="str">
        <f>+VLOOKUP($L207,Data_Validation!$A:$E,5,0)</f>
        <v>$</v>
      </c>
      <c r="X207" s="656">
        <f>+VLOOKUP($L207,Data_Validation!$A:$F,6,0)</f>
        <v>0</v>
      </c>
    </row>
    <row r="208" spans="1:24" ht="15" customHeight="1">
      <c r="A208" s="1329" t="s">
        <v>3680</v>
      </c>
      <c r="B208" s="1329" t="s">
        <v>2160</v>
      </c>
      <c r="C208" s="1331">
        <v>2176.35</v>
      </c>
      <c r="D208" s="1331">
        <v>1923.54</v>
      </c>
      <c r="E208" s="1331">
        <v>4099.8900000000003</v>
      </c>
      <c r="F208" s="1329" t="s">
        <v>1110</v>
      </c>
      <c r="G208" s="1329" t="s">
        <v>1131</v>
      </c>
      <c r="H208" s="1329" t="s">
        <v>3942</v>
      </c>
      <c r="I208" s="652"/>
      <c r="J208" s="652"/>
      <c r="K208" s="652"/>
      <c r="L208" s="653" t="str">
        <f t="shared" si="171"/>
        <v>5416</v>
      </c>
      <c r="M208" s="654" t="str">
        <f t="shared" si="172"/>
        <v>C/V - MAIN D'OEUVRE SVC NON APP - TOUS</v>
      </c>
      <c r="N208" s="655">
        <f>+IF(OR($Q208=Parametres!$G$2,$Q208=Parametres!$G$3),I208,C208)</f>
        <v>2176.35</v>
      </c>
      <c r="O208" s="655">
        <f>+IF(OR($Q208=Parametres!$G$2,$Q208=Parametres!$G$3),J208,D208)</f>
        <v>1923.54</v>
      </c>
      <c r="P208" s="655">
        <f>+IF(OR($Q208=Parametres!$G$2,$Q208=Parametres!$G$3),K208,E208)</f>
        <v>4099.8900000000003</v>
      </c>
      <c r="Q208" s="654" t="str">
        <f t="shared" si="173"/>
        <v>6-Coût des ventes</v>
      </c>
      <c r="R208" s="653" t="str">
        <f t="shared" si="174"/>
        <v>4416</v>
      </c>
      <c r="S208" s="654" t="str">
        <f t="shared" si="175"/>
        <v>_</v>
      </c>
      <c r="T208" s="656" t="str">
        <f>+VLOOKUP($L208,Data_Validation!$A:$D,1,0)</f>
        <v>5416</v>
      </c>
      <c r="U208" s="656" t="str">
        <f>+VLOOKUP($L208,Data_Validation!$A:$D,3,0)</f>
        <v>Service</v>
      </c>
      <c r="V208" s="656" t="str">
        <f>+VLOOKUP($L208,Data_Validation!$A:$D,4,0)</f>
        <v>Ajustement M/O</v>
      </c>
      <c r="W208" s="656" t="str">
        <f>+VLOOKUP($L208,Data_Validation!$A:$E,5,0)</f>
        <v>$</v>
      </c>
      <c r="X208" s="656">
        <f>+VLOOKUP($L208,Data_Validation!$A:$F,6,0)</f>
        <v>0</v>
      </c>
    </row>
    <row r="209" spans="1:24" ht="15" customHeight="1">
      <c r="A209" s="1329" t="s">
        <v>1033</v>
      </c>
      <c r="B209" s="1329" t="s">
        <v>2166</v>
      </c>
      <c r="C209" s="1331">
        <v>11303.01</v>
      </c>
      <c r="D209" s="1331">
        <v>11703.04</v>
      </c>
      <c r="E209" s="1331">
        <v>23006.05</v>
      </c>
      <c r="F209" s="1329" t="s">
        <v>1110</v>
      </c>
      <c r="G209" s="1329" t="s">
        <v>1034</v>
      </c>
      <c r="H209" s="1329" t="s">
        <v>3942</v>
      </c>
      <c r="I209" s="670"/>
      <c r="J209" s="651"/>
      <c r="K209" s="670"/>
      <c r="L209" s="653" t="str">
        <f t="shared" si="171"/>
        <v>5451</v>
      </c>
      <c r="M209" s="654" t="str">
        <f t="shared" si="172"/>
        <v>CARBURANT/HUILE/GRAISSE</v>
      </c>
      <c r="N209" s="655">
        <f>+IF(OR($Q209=Parametres!$G$2,$Q209=Parametres!$G$3),I209,C209)</f>
        <v>11303.01</v>
      </c>
      <c r="O209" s="655">
        <f>+IF(OR($Q209=Parametres!$G$2,$Q209=Parametres!$G$3),J209,D209)</f>
        <v>11703.04</v>
      </c>
      <c r="P209" s="655">
        <f>+IF(OR($Q209=Parametres!$G$2,$Q209=Parametres!$G$3),K209,E209)</f>
        <v>23006.05</v>
      </c>
      <c r="Q209" s="654" t="str">
        <f t="shared" si="173"/>
        <v>6-Coût des ventes</v>
      </c>
      <c r="R209" s="653" t="str">
        <f t="shared" si="174"/>
        <v>4782</v>
      </c>
      <c r="S209" s="654" t="str">
        <f t="shared" si="175"/>
        <v>_</v>
      </c>
      <c r="T209" s="671" t="str">
        <f>+VLOOKUP($L209,Data_Validation!$A:$D,1,0)</f>
        <v>5451</v>
      </c>
      <c r="U209" s="656" t="str">
        <f>+VLOOKUP($L209,Data_Validation!$A:$D,3,0)</f>
        <v>Pièces</v>
      </c>
      <c r="V209" s="656" t="str">
        <f>+VLOOKUP($L209,Data_Validation!$A:$D,4,0)</f>
        <v>Huiles et Graisse</v>
      </c>
      <c r="W209" s="656" t="str">
        <f>+VLOOKUP($L209,Data_Validation!$A:$E,5,0)</f>
        <v>$</v>
      </c>
      <c r="X209" s="656">
        <f>+VLOOKUP($L209,Data_Validation!$A:$F,6,0)</f>
        <v>0</v>
      </c>
    </row>
    <row r="210" spans="1:24" ht="15" customHeight="1">
      <c r="A210" s="1329" t="s">
        <v>1036</v>
      </c>
      <c r="B210" s="1329" t="s">
        <v>2169</v>
      </c>
      <c r="C210" s="1331">
        <v>4404.5</v>
      </c>
      <c r="D210" s="1331">
        <v>5148.4799999999996</v>
      </c>
      <c r="E210" s="1331">
        <v>9552.98</v>
      </c>
      <c r="F210" s="1329" t="s">
        <v>1110</v>
      </c>
      <c r="G210" s="1329" t="s">
        <v>1037</v>
      </c>
      <c r="H210" s="1329" t="s">
        <v>3942</v>
      </c>
      <c r="I210" s="652"/>
      <c r="J210" s="652"/>
      <c r="K210" s="652"/>
      <c r="L210" s="653" t="str">
        <f t="shared" si="171"/>
        <v>5491</v>
      </c>
      <c r="M210" s="654" t="str">
        <f t="shared" si="172"/>
        <v>REPARATION SOUS-LOC. - GENERAL</v>
      </c>
      <c r="N210" s="655">
        <f>+IF(OR($Q210=Parametres!$G$2,$Q210=Parametres!$G$3),I210,C210)</f>
        <v>4404.5</v>
      </c>
      <c r="O210" s="659">
        <f>+IF(OR($Q210=Parametres!$G$2,$Q210=Parametres!$G$3),J210,D210)</f>
        <v>5148.4799999999996</v>
      </c>
      <c r="P210" s="655">
        <f>+IF(OR($Q210=Parametres!$G$2,$Q210=Parametres!$G$3),K210,E210)</f>
        <v>9552.98</v>
      </c>
      <c r="Q210" s="654" t="str">
        <f t="shared" si="173"/>
        <v>6-Coût des ventes</v>
      </c>
      <c r="R210" s="653" t="str">
        <f t="shared" si="174"/>
        <v>4491</v>
      </c>
      <c r="S210" s="654" t="str">
        <f t="shared" si="175"/>
        <v>_</v>
      </c>
      <c r="T210" s="656" t="str">
        <f>+VLOOKUP($L210,Data_Validation!$A:$D,1,0)</f>
        <v>5491</v>
      </c>
      <c r="U210" s="656" t="str">
        <f>+VLOOKUP($L210,Data_Validation!$A:$D,3,0)</f>
        <v>Service</v>
      </c>
      <c r="V210" s="656" t="str">
        <f>+VLOOKUP($L210,Data_Validation!$A:$D,4,0)</f>
        <v>Sous-traitement</v>
      </c>
      <c r="W210" s="656" t="str">
        <f>+VLOOKUP($L210,Data_Validation!$A:$E,5,0)</f>
        <v>$</v>
      </c>
      <c r="X210" s="656">
        <f>+VLOOKUP($L210,Data_Validation!$A:$F,6,0)</f>
        <v>0</v>
      </c>
    </row>
    <row r="211" spans="1:24" ht="15.75" customHeight="1">
      <c r="A211" s="1329" t="s">
        <v>1133</v>
      </c>
      <c r="B211" s="1329" t="s">
        <v>2175</v>
      </c>
      <c r="C211" s="1331">
        <v>11073.95</v>
      </c>
      <c r="D211" s="1331">
        <v>2672</v>
      </c>
      <c r="E211" s="1331">
        <v>13745.95</v>
      </c>
      <c r="F211" s="1329" t="s">
        <v>1110</v>
      </c>
      <c r="G211" s="1329" t="s">
        <v>1044</v>
      </c>
      <c r="H211" s="1329" t="s">
        <v>3942</v>
      </c>
      <c r="I211" s="670"/>
      <c r="J211" s="651"/>
      <c r="K211" s="670"/>
      <c r="L211" s="653" t="str">
        <f t="shared" si="171"/>
        <v>5495</v>
      </c>
      <c r="M211" s="654" t="str">
        <f t="shared" si="172"/>
        <v>C/V - SOUS-TRAITANCE INTERNE</v>
      </c>
      <c r="N211" s="655">
        <f>+IF(OR($Q211=Parametres!$G$2,$Q211=Parametres!$G$3),I211,C211)</f>
        <v>11073.95</v>
      </c>
      <c r="O211" s="655">
        <f>+IF(OR($Q211=Parametres!$G$2,$Q211=Parametres!$G$3),J211,D211)</f>
        <v>2672</v>
      </c>
      <c r="P211" s="655">
        <f>+IF(OR($Q211=Parametres!$G$2,$Q211=Parametres!$G$3),K211,E211)</f>
        <v>13745.95</v>
      </c>
      <c r="Q211" s="654" t="str">
        <f t="shared" si="173"/>
        <v>6-Coût des ventes</v>
      </c>
      <c r="R211" s="653" t="str">
        <f t="shared" si="174"/>
        <v>4495</v>
      </c>
      <c r="S211" s="654" t="str">
        <f t="shared" si="175"/>
        <v>_</v>
      </c>
      <c r="T211" s="656" t="str">
        <f>+VLOOKUP($L211,Data_Validation!$A:$D,1,0)</f>
        <v>5495</v>
      </c>
      <c r="U211" s="656" t="str">
        <f>+VLOOKUP($L211,Data_Validation!$A:$D,3,0)</f>
        <v>Service</v>
      </c>
      <c r="V211" s="656" t="str">
        <f>+VLOOKUP($L211,Data_Validation!$A:$D,4,0)</f>
        <v>Sous-traitement</v>
      </c>
      <c r="W211" s="656" t="str">
        <f>+VLOOKUP($L211,Data_Validation!$A:$E,5,0)</f>
        <v>$</v>
      </c>
      <c r="X211" s="656">
        <f>+VLOOKUP($L211,Data_Validation!$A:$F,6,0)</f>
        <v>0</v>
      </c>
    </row>
    <row r="212" spans="1:24" ht="15" customHeight="1">
      <c r="A212" s="1329" t="s">
        <v>3427</v>
      </c>
      <c r="B212" s="1329" t="s">
        <v>3428</v>
      </c>
      <c r="C212" s="1331">
        <v>1013.48</v>
      </c>
      <c r="D212" s="1331">
        <v>940.56</v>
      </c>
      <c r="E212" s="1331">
        <v>1954.04</v>
      </c>
      <c r="F212" s="1329" t="s">
        <v>1110</v>
      </c>
      <c r="G212" s="1329" t="s">
        <v>3426</v>
      </c>
      <c r="H212" s="1329" t="s">
        <v>3942</v>
      </c>
      <c r="I212" s="652"/>
      <c r="J212" s="652"/>
      <c r="K212" s="652"/>
      <c r="L212" s="653" t="str">
        <f t="shared" si="171"/>
        <v>5505</v>
      </c>
      <c r="M212" s="654" t="str">
        <f t="shared" si="172"/>
        <v>C/V - M.O. INTERNE CARROSSERIE</v>
      </c>
      <c r="N212" s="655">
        <f>+IF(OR($Q212=Parametres!$G$2,$Q212=Parametres!$G$3),I212,C212)</f>
        <v>1013.48</v>
      </c>
      <c r="O212" s="655">
        <f>+IF(OR($Q212=Parametres!$G$2,$Q212=Parametres!$G$3),J212,D212)</f>
        <v>940.56</v>
      </c>
      <c r="P212" s="655">
        <f>+IF(OR($Q212=Parametres!$G$2,$Q212=Parametres!$G$3),K212,E212)</f>
        <v>1954.04</v>
      </c>
      <c r="Q212" s="654" t="str">
        <f t="shared" si="173"/>
        <v>6-Coût des ventes</v>
      </c>
      <c r="R212" s="653" t="str">
        <f t="shared" si="174"/>
        <v>4505</v>
      </c>
      <c r="S212" s="654" t="str">
        <f t="shared" si="175"/>
        <v>_</v>
      </c>
      <c r="T212" s="656" t="str">
        <f>+VLOOKUP($L212,Data_Validation!$A:$D,1,0)</f>
        <v>5505</v>
      </c>
      <c r="U212" s="656" t="str">
        <f>+VLOOKUP($L212,Data_Validation!$A:$D,3,0)</f>
        <v>Service</v>
      </c>
      <c r="V212" s="656" t="str">
        <f>+VLOOKUP($L212,Data_Validation!$A:$D,4,0)</f>
        <v>M.O. Recond. MCPA</v>
      </c>
      <c r="W212" s="656" t="str">
        <f>+VLOOKUP($L212,Data_Validation!$A:$E,5,0)</f>
        <v>$</v>
      </c>
      <c r="X212" s="656">
        <f>+VLOOKUP($L212,Data_Validation!$A:$F,6,0)</f>
        <v>0</v>
      </c>
    </row>
    <row r="213" spans="1:24" ht="15" customHeight="1">
      <c r="A213" s="1329" t="s">
        <v>1134</v>
      </c>
      <c r="B213" s="1329" t="s">
        <v>2184</v>
      </c>
      <c r="C213" s="1331">
        <v>9713.41</v>
      </c>
      <c r="D213" s="1331">
        <v>11515</v>
      </c>
      <c r="E213" s="1331">
        <v>21228.41</v>
      </c>
      <c r="F213" s="1329" t="s">
        <v>1110</v>
      </c>
      <c r="G213" s="1329" t="s">
        <v>1051</v>
      </c>
      <c r="H213" s="1329" t="s">
        <v>3942</v>
      </c>
      <c r="I213" s="670"/>
      <c r="J213" s="651"/>
      <c r="K213" s="670"/>
      <c r="L213" s="653" t="str">
        <f t="shared" si="171"/>
        <v>5591</v>
      </c>
      <c r="M213" s="654" t="str">
        <f t="shared" si="172"/>
        <v>C/V - S-TRAIT. CARR.</v>
      </c>
      <c r="N213" s="655">
        <f>+IF(OR($Q213=Parametres!$G$2,$Q213=Parametres!$G$3),I213,C213)</f>
        <v>9713.41</v>
      </c>
      <c r="O213" s="655">
        <f>+IF(OR($Q213=Parametres!$G$2,$Q213=Parametres!$G$3),J213,D213)</f>
        <v>11515</v>
      </c>
      <c r="P213" s="655">
        <f>+IF(OR($Q213=Parametres!$G$2,$Q213=Parametres!$G$3),K213,E213)</f>
        <v>21228.41</v>
      </c>
      <c r="Q213" s="654" t="str">
        <f t="shared" si="173"/>
        <v>6-Coût des ventes</v>
      </c>
      <c r="R213" s="653" t="str">
        <f t="shared" si="174"/>
        <v>4591</v>
      </c>
      <c r="S213" s="654" t="str">
        <f t="shared" si="175"/>
        <v>_</v>
      </c>
      <c r="T213" s="656" t="str">
        <f>+VLOOKUP($L213,Data_Validation!$A:$D,1,0)</f>
        <v>5591</v>
      </c>
      <c r="U213" s="656" t="str">
        <f>+VLOOKUP($L213,Data_Validation!$A:$D,3,0)</f>
        <v>Carrosserie</v>
      </c>
      <c r="V213" s="656" t="str">
        <f>+VLOOKUP($L213,Data_Validation!$A:$D,4,0)</f>
        <v>M/O Sous-traitement</v>
      </c>
      <c r="W213" s="656" t="str">
        <f>+VLOOKUP($L213,Data_Validation!$A:$E,5,0)</f>
        <v>$</v>
      </c>
      <c r="X213" s="656">
        <f>+VLOOKUP($L213,Data_Validation!$A:$F,6,0)</f>
        <v>0</v>
      </c>
    </row>
    <row r="214" spans="1:24" ht="15" customHeight="1">
      <c r="A214" s="1329" t="s">
        <v>1135</v>
      </c>
      <c r="B214" s="1329" t="s">
        <v>2187</v>
      </c>
      <c r="C214" s="1331">
        <v>72781.19</v>
      </c>
      <c r="D214" s="1331">
        <v>124453.85</v>
      </c>
      <c r="E214" s="1331">
        <v>197235.04</v>
      </c>
      <c r="F214" s="1329" t="s">
        <v>1110</v>
      </c>
      <c r="G214" s="1329" t="s">
        <v>1055</v>
      </c>
      <c r="H214" s="1329" t="s">
        <v>3942</v>
      </c>
      <c r="I214" s="652"/>
      <c r="J214" s="652"/>
      <c r="K214" s="652"/>
      <c r="L214" s="653" t="str">
        <f t="shared" si="171"/>
        <v>5593</v>
      </c>
      <c r="M214" s="654" t="str">
        <f t="shared" si="172"/>
        <v>C/V - S-TRAIT.GARANTIE CARROS.</v>
      </c>
      <c r="N214" s="655">
        <f>+IF(OR($Q214=Parametres!$G$2,$Q214=Parametres!$G$3),I214,C214)</f>
        <v>72781.19</v>
      </c>
      <c r="O214" s="655">
        <f>+IF(OR($Q214=Parametres!$G$2,$Q214=Parametres!$G$3),J214,D214)</f>
        <v>124453.85</v>
      </c>
      <c r="P214" s="655">
        <f>+IF(OR($Q214=Parametres!$G$2,$Q214=Parametres!$G$3),K214,E214)</f>
        <v>197235.04</v>
      </c>
      <c r="Q214" s="654" t="str">
        <f t="shared" si="173"/>
        <v>6-Coût des ventes</v>
      </c>
      <c r="R214" s="653" t="str">
        <f t="shared" si="174"/>
        <v>4593</v>
      </c>
      <c r="S214" s="654" t="str">
        <f t="shared" si="175"/>
        <v>_</v>
      </c>
      <c r="T214" s="656" t="str">
        <f>+VLOOKUP($L214,Data_Validation!$A:$D,1,0)</f>
        <v>5593</v>
      </c>
      <c r="U214" s="656" t="str">
        <f>+VLOOKUP($L214,Data_Validation!$A:$D,3,0)</f>
        <v>Carrosserie</v>
      </c>
      <c r="V214" s="656" t="str">
        <f>+VLOOKUP($L214,Data_Validation!$A:$D,4,0)</f>
        <v>M/O Sous-traitement</v>
      </c>
      <c r="W214" s="656" t="str">
        <f>+VLOOKUP($L214,Data_Validation!$A:$E,5,0)</f>
        <v>$</v>
      </c>
      <c r="X214" s="656">
        <f>+VLOOKUP($L214,Data_Validation!$A:$F,6,0)</f>
        <v>0</v>
      </c>
    </row>
    <row r="215" spans="1:24" ht="15.75" customHeight="1">
      <c r="A215" s="1329" t="s">
        <v>1136</v>
      </c>
      <c r="B215" s="1329" t="s">
        <v>2190</v>
      </c>
      <c r="C215" s="1331">
        <v>891.12</v>
      </c>
      <c r="D215" s="1331">
        <v>669.51</v>
      </c>
      <c r="E215" s="1331">
        <v>1560.63</v>
      </c>
      <c r="F215" s="1329" t="s">
        <v>1110</v>
      </c>
      <c r="G215" s="1329" t="s">
        <v>1059</v>
      </c>
      <c r="H215" s="1329" t="s">
        <v>3942</v>
      </c>
      <c r="I215" s="670"/>
      <c r="J215" s="670"/>
      <c r="K215" s="670"/>
      <c r="L215" s="653" t="str">
        <f t="shared" si="171"/>
        <v>5595</v>
      </c>
      <c r="M215" s="654" t="str">
        <f t="shared" si="172"/>
        <v>C/V - S-TRAIT.INTERNE CARROS.</v>
      </c>
      <c r="N215" s="655">
        <f>+IF(OR($Q215=Parametres!$G$2,$Q215=Parametres!$G$3),I215,C215)</f>
        <v>891.12</v>
      </c>
      <c r="O215" s="655">
        <f>+IF(OR($Q215=Parametres!$G$2,$Q215=Parametres!$G$3),J215,D215)</f>
        <v>669.51</v>
      </c>
      <c r="P215" s="655">
        <f>+IF(OR($Q215=Parametres!$G$2,$Q215=Parametres!$G$3),K215,E215)</f>
        <v>1560.63</v>
      </c>
      <c r="Q215" s="654" t="str">
        <f t="shared" si="173"/>
        <v>6-Coût des ventes</v>
      </c>
      <c r="R215" s="653" t="str">
        <f t="shared" si="174"/>
        <v>4595</v>
      </c>
      <c r="S215" s="654" t="str">
        <f t="shared" si="175"/>
        <v>_</v>
      </c>
      <c r="T215" s="656" t="str">
        <f>+VLOOKUP($L215,Data_Validation!$A:$D,1,0)</f>
        <v>5595</v>
      </c>
      <c r="U215" s="656" t="str">
        <f>+VLOOKUP($L215,Data_Validation!$A:$D,3,0)</f>
        <v>Carrosserie</v>
      </c>
      <c r="V215" s="656" t="str">
        <f>+VLOOKUP($L215,Data_Validation!$A:$D,4,0)</f>
        <v>M/O Sous-traitement</v>
      </c>
      <c r="W215" s="656" t="str">
        <f>+VLOOKUP($L215,Data_Validation!$A:$E,5,0)</f>
        <v>$</v>
      </c>
      <c r="X215" s="656">
        <f>+VLOOKUP($L215,Data_Validation!$A:$F,6,0)</f>
        <v>0</v>
      </c>
    </row>
    <row r="216" spans="1:24" ht="15" customHeight="1">
      <c r="A216" s="1329" t="s">
        <v>3673</v>
      </c>
      <c r="B216" s="1329" t="s">
        <v>2193</v>
      </c>
      <c r="C216" s="1331">
        <v>45786.14</v>
      </c>
      <c r="D216" s="1331">
        <v>41303.93</v>
      </c>
      <c r="E216" s="1331">
        <v>87090.07</v>
      </c>
      <c r="F216" s="1329" t="s">
        <v>1110</v>
      </c>
      <c r="G216" s="1329" t="s">
        <v>1063</v>
      </c>
      <c r="H216" s="1329" t="s">
        <v>3942</v>
      </c>
      <c r="I216" s="670"/>
      <c r="J216" s="660"/>
      <c r="K216" s="670"/>
      <c r="L216" s="653" t="str">
        <f t="shared" si="171"/>
        <v>5701</v>
      </c>
      <c r="M216" s="654" t="str">
        <f t="shared" si="172"/>
        <v>VW P&amp;A - BR - CLIENT - MCI</v>
      </c>
      <c r="N216" s="655">
        <f>+IF(OR($Q216=Parametres!$G$2,$Q216=Parametres!$G$3),I216,C216)</f>
        <v>45786.14</v>
      </c>
      <c r="O216" s="655">
        <f>+IF(OR($Q216=Parametres!$G$2,$Q216=Parametres!$G$3),J216,D216)</f>
        <v>41303.93</v>
      </c>
      <c r="P216" s="655">
        <f>+IF(OR($Q216=Parametres!$G$2,$Q216=Parametres!$G$3),K216,E216)</f>
        <v>87090.07</v>
      </c>
      <c r="Q216" s="654" t="str">
        <f t="shared" si="173"/>
        <v>6-Coût des ventes</v>
      </c>
      <c r="R216" s="653" t="str">
        <f t="shared" si="174"/>
        <v>4701</v>
      </c>
      <c r="S216" s="654" t="str">
        <f t="shared" si="175"/>
        <v>_</v>
      </c>
      <c r="T216" s="656" t="str">
        <f>+VLOOKUP($L216,Data_Validation!$A:$D,1,0)</f>
        <v>5701</v>
      </c>
      <c r="U216" s="656" t="str">
        <f>+VLOOKUP($L216,Data_Validation!$A:$D,3,0)</f>
        <v>Pièces</v>
      </c>
      <c r="V216" s="656" t="str">
        <f>+VLOOKUP($L216,Data_Validation!$A:$D,4,0)</f>
        <v>Pièces Ro Clients</v>
      </c>
      <c r="W216" s="656" t="str">
        <f>+VLOOKUP($L216,Data_Validation!$A:$E,5,0)</f>
        <v>$</v>
      </c>
      <c r="X216" s="656">
        <f>+VLOOKUP($L216,Data_Validation!$A:$F,6,0)</f>
        <v>0</v>
      </c>
    </row>
    <row r="217" spans="1:24" ht="15" customHeight="1">
      <c r="A217" s="1329" t="s">
        <v>1138</v>
      </c>
      <c r="B217" s="1329" t="s">
        <v>2196</v>
      </c>
      <c r="C217" s="1331">
        <v>314.87</v>
      </c>
      <c r="D217" s="1331">
        <v>282.24</v>
      </c>
      <c r="E217" s="1331">
        <v>597.11</v>
      </c>
      <c r="F217" s="1329" t="s">
        <v>1110</v>
      </c>
      <c r="G217" s="1329" t="s">
        <v>1067</v>
      </c>
      <c r="H217" s="1329" t="s">
        <v>3942</v>
      </c>
      <c r="I217" s="672"/>
      <c r="J217" s="663"/>
      <c r="K217" s="672"/>
      <c r="L217" s="653" t="str">
        <f t="shared" si="171"/>
        <v>5702</v>
      </c>
      <c r="M217" s="654" t="str">
        <f t="shared" si="172"/>
        <v>C/V - SHOP SUPPLY VW</v>
      </c>
      <c r="N217" s="655">
        <f>+IF(OR($Q217=Parametres!$G$2,$Q217=Parametres!$G$3),I217,C217)</f>
        <v>314.87</v>
      </c>
      <c r="O217" s="655">
        <f>+IF(OR($Q217=Parametres!$G$2,$Q217=Parametres!$G$3),J217,D217)</f>
        <v>282.24</v>
      </c>
      <c r="P217" s="655">
        <f>+IF(OR($Q217=Parametres!$G$2,$Q217=Parametres!$G$3),K217,E217)</f>
        <v>597.11</v>
      </c>
      <c r="Q217" s="654" t="str">
        <f t="shared" si="173"/>
        <v>6-Coût des ventes</v>
      </c>
      <c r="R217" s="653" t="str">
        <f t="shared" si="174"/>
        <v>4702</v>
      </c>
      <c r="S217" s="654" t="str">
        <f t="shared" si="175"/>
        <v>_</v>
      </c>
      <c r="T217" s="656" t="str">
        <f>+VLOOKUP($L217,Data_Validation!$A:$D,1,0)</f>
        <v>5702</v>
      </c>
      <c r="U217" s="656" t="str">
        <f>+VLOOKUP($L217,Data_Validation!$A:$D,3,0)</f>
        <v>Service</v>
      </c>
      <c r="V217" s="656" t="str">
        <f>+VLOOKUP($L217,Data_Validation!$A:$D,4,0)</f>
        <v>M/O Client</v>
      </c>
      <c r="W217" s="656" t="str">
        <f>+VLOOKUP($L217,Data_Validation!$A:$E,5,0)</f>
        <v>$</v>
      </c>
      <c r="X217" s="656">
        <f>+VLOOKUP($L217,Data_Validation!$A:$F,6,0)</f>
        <v>0</v>
      </c>
    </row>
    <row r="218" spans="1:24" ht="15" customHeight="1">
      <c r="A218" s="1329" t="s">
        <v>3674</v>
      </c>
      <c r="B218" s="1329" t="s">
        <v>2199</v>
      </c>
      <c r="C218" s="1331">
        <v>78038.13</v>
      </c>
      <c r="D218" s="1331">
        <v>79919.039999999994</v>
      </c>
      <c r="E218" s="1331">
        <v>157957.17000000001</v>
      </c>
      <c r="F218" s="1329" t="s">
        <v>1110</v>
      </c>
      <c r="G218" s="1329" t="s">
        <v>1069</v>
      </c>
      <c r="H218" s="1329" t="s">
        <v>3942</v>
      </c>
      <c r="I218" s="652"/>
      <c r="J218" s="652"/>
      <c r="K218" s="652"/>
      <c r="L218" s="653" t="str">
        <f t="shared" si="171"/>
        <v>5703</v>
      </c>
      <c r="M218" s="654" t="str">
        <f t="shared" si="172"/>
        <v>VW P&amp;A - BR - GARANTIE - MCI</v>
      </c>
      <c r="N218" s="655">
        <f>+IF(OR($Q218=Parametres!$G$2,$Q218=Parametres!$G$3),I218,C218)</f>
        <v>78038.13</v>
      </c>
      <c r="O218" s="655">
        <f>+IF(OR($Q218=Parametres!$G$2,$Q218=Parametres!$G$3),J218,D218)</f>
        <v>79919.039999999994</v>
      </c>
      <c r="P218" s="655">
        <f>+IF(OR($Q218=Parametres!$G$2,$Q218=Parametres!$G$3),K218,E218)</f>
        <v>157957.17000000001</v>
      </c>
      <c r="Q218" s="654" t="str">
        <f t="shared" si="173"/>
        <v>6-Coût des ventes</v>
      </c>
      <c r="R218" s="653" t="str">
        <f t="shared" si="174"/>
        <v>4703</v>
      </c>
      <c r="S218" s="654" t="str">
        <f t="shared" si="175"/>
        <v>_</v>
      </c>
      <c r="T218" s="656" t="str">
        <f>+VLOOKUP($L218,Data_Validation!$A:$D,1,0)</f>
        <v>5703</v>
      </c>
      <c r="U218" s="656" t="str">
        <f>+VLOOKUP($L218,Data_Validation!$A:$D,3,0)</f>
        <v>Pièces</v>
      </c>
      <c r="V218" s="656" t="str">
        <f>+VLOOKUP($L218,Data_Validation!$A:$D,4,0)</f>
        <v>P/A Garantie</v>
      </c>
      <c r="W218" s="656" t="str">
        <f>+VLOOKUP($L218,Data_Validation!$A:$E,5,0)</f>
        <v>$</v>
      </c>
      <c r="X218" s="656">
        <f>+VLOOKUP($L218,Data_Validation!$A:$F,6,0)</f>
        <v>0</v>
      </c>
    </row>
    <row r="219" spans="1:24" ht="15.75" customHeight="1">
      <c r="A219" s="1329" t="s">
        <v>3675</v>
      </c>
      <c r="B219" s="1329" t="s">
        <v>2202</v>
      </c>
      <c r="C219" s="1331">
        <v>48430.74</v>
      </c>
      <c r="D219" s="1331">
        <v>41986.52</v>
      </c>
      <c r="E219" s="1331">
        <v>90417.26</v>
      </c>
      <c r="F219" s="1329" t="s">
        <v>1110</v>
      </c>
      <c r="G219" s="1329" t="s">
        <v>1073</v>
      </c>
      <c r="H219" s="1329" t="s">
        <v>3942</v>
      </c>
      <c r="I219" s="652"/>
      <c r="J219" s="652"/>
      <c r="K219" s="652"/>
      <c r="L219" s="653" t="str">
        <f t="shared" si="171"/>
        <v>5705</v>
      </c>
      <c r="M219" s="654" t="str">
        <f t="shared" si="172"/>
        <v>VW P&amp;A - BR - INTERNE - MCI</v>
      </c>
      <c r="N219" s="655">
        <f>+IF(OR($Q219=Parametres!$G$2,$Q219=Parametres!$G$3),I219,C219)</f>
        <v>48430.74</v>
      </c>
      <c r="O219" s="659">
        <f>+IF(OR($Q219=Parametres!$G$2,$Q219=Parametres!$G$3),J219,D219)</f>
        <v>41986.52</v>
      </c>
      <c r="P219" s="655">
        <f>+IF(OR($Q219=Parametres!$G$2,$Q219=Parametres!$G$3),K219,E219)</f>
        <v>90417.26</v>
      </c>
      <c r="Q219" s="654" t="str">
        <f t="shared" si="173"/>
        <v>6-Coût des ventes</v>
      </c>
      <c r="R219" s="653" t="str">
        <f t="shared" si="174"/>
        <v>4705</v>
      </c>
      <c r="S219" s="654" t="str">
        <f t="shared" si="175"/>
        <v>_</v>
      </c>
      <c r="T219" s="656" t="str">
        <f>+VLOOKUP($L219,Data_Validation!$A:$D,1,0)</f>
        <v>5705</v>
      </c>
      <c r="U219" s="656" t="str">
        <f>+VLOOKUP($L219,Data_Validation!$A:$D,3,0)</f>
        <v>Pièces</v>
      </c>
      <c r="V219" s="656" t="str">
        <f>+VLOOKUP($L219,Data_Validation!$A:$D,4,0)</f>
        <v>Ventes Internes</v>
      </c>
      <c r="W219" s="656" t="str">
        <f>+VLOOKUP($L219,Data_Validation!$A:$E,5,0)</f>
        <v>$</v>
      </c>
      <c r="X219" s="656">
        <f>+VLOOKUP($L219,Data_Validation!$A:$F,6,0)</f>
        <v>0</v>
      </c>
    </row>
    <row r="220" spans="1:24" ht="15" customHeight="1">
      <c r="A220" s="1329" t="s">
        <v>3676</v>
      </c>
      <c r="B220" s="1329" t="s">
        <v>2205</v>
      </c>
      <c r="C220" s="1331">
        <v>186.11</v>
      </c>
      <c r="D220" s="1331">
        <v>131.56</v>
      </c>
      <c r="E220" s="1331">
        <v>317.67</v>
      </c>
      <c r="F220" s="1329" t="s">
        <v>1110</v>
      </c>
      <c r="G220" s="1329" t="s">
        <v>1076</v>
      </c>
      <c r="H220" s="1329" t="s">
        <v>3942</v>
      </c>
      <c r="I220" s="672"/>
      <c r="J220" s="663"/>
      <c r="K220" s="672"/>
      <c r="L220" s="653" t="str">
        <f t="shared" si="171"/>
        <v>5706</v>
      </c>
      <c r="M220" s="654" t="str">
        <f t="shared" si="172"/>
        <v>VW P&amp;A - BR - CLIENT - VEB</v>
      </c>
      <c r="N220" s="655">
        <f>+IF(OR($Q220=Parametres!$G$2,$Q220=Parametres!$G$3),I220,C220)</f>
        <v>186.11</v>
      </c>
      <c r="O220" s="655">
        <f>+IF(OR($Q220=Parametres!$G$2,$Q220=Parametres!$G$3),J220,D220)</f>
        <v>131.56</v>
      </c>
      <c r="P220" s="655">
        <f>+IF(OR($Q220=Parametres!$G$2,$Q220=Parametres!$G$3),K220,E220)</f>
        <v>317.67</v>
      </c>
      <c r="Q220" s="654" t="str">
        <f t="shared" si="173"/>
        <v>6-Coût des ventes</v>
      </c>
      <c r="R220" s="653" t="str">
        <f t="shared" si="174"/>
        <v>4706</v>
      </c>
      <c r="S220" s="654" t="str">
        <f t="shared" si="175"/>
        <v>_</v>
      </c>
      <c r="T220" s="656" t="str">
        <f>+VLOOKUP($L220,Data_Validation!$A:$D,1,0)</f>
        <v>5706</v>
      </c>
      <c r="U220" s="656" t="str">
        <f>+VLOOKUP($L220,Data_Validation!$A:$D,3,0)</f>
        <v>Service</v>
      </c>
      <c r="V220" s="656" t="str">
        <f>+VLOOKUP($L220,Data_Validation!$A:$D,4,0)</f>
        <v>M/O Interne</v>
      </c>
      <c r="W220" s="656" t="str">
        <f>+VLOOKUP($L220,Data_Validation!$A:$E,5,0)</f>
        <v>$</v>
      </c>
      <c r="X220" s="656">
        <f>+VLOOKUP($L220,Data_Validation!$A:$F,6,0)</f>
        <v>0</v>
      </c>
    </row>
    <row r="221" spans="1:24" ht="15" customHeight="1">
      <c r="A221" s="1329" t="s">
        <v>1141</v>
      </c>
      <c r="B221" s="1329" t="s">
        <v>2208</v>
      </c>
      <c r="C221" s="1331">
        <v>2119.0300000000002</v>
      </c>
      <c r="D221" s="1331">
        <v>1866.66</v>
      </c>
      <c r="E221" s="1331">
        <v>3985.69</v>
      </c>
      <c r="F221" s="1329" t="s">
        <v>1110</v>
      </c>
      <c r="G221" s="1329" t="s">
        <v>1142</v>
      </c>
      <c r="H221" s="1329" t="s">
        <v>3942</v>
      </c>
      <c r="I221" s="672"/>
      <c r="J221" s="663"/>
      <c r="K221" s="672"/>
      <c r="L221" s="653" t="str">
        <f t="shared" si="171"/>
        <v>5711</v>
      </c>
      <c r="M221" s="654" t="str">
        <f t="shared" si="172"/>
        <v>C/V - AUTRE PIECE/ACC/CARR B.R. CLIENT</v>
      </c>
      <c r="N221" s="655">
        <f>+IF(OR($Q221=Parametres!$G$2,$Q221=Parametres!$G$3),I221,C221)</f>
        <v>2119.0300000000002</v>
      </c>
      <c r="O221" s="655">
        <f>+IF(OR($Q221=Parametres!$G$2,$Q221=Parametres!$G$3),J221,D221)</f>
        <v>1866.66</v>
      </c>
      <c r="P221" s="655">
        <f>+IF(OR($Q221=Parametres!$G$2,$Q221=Parametres!$G$3),K221,E221)</f>
        <v>3985.69</v>
      </c>
      <c r="Q221" s="654" t="str">
        <f t="shared" si="173"/>
        <v>6-Coût des ventes</v>
      </c>
      <c r="R221" s="653" t="str">
        <f t="shared" si="174"/>
        <v>4711</v>
      </c>
      <c r="S221" s="654" t="str">
        <f t="shared" si="175"/>
        <v>_</v>
      </c>
      <c r="T221" s="656" t="str">
        <f>+VLOOKUP($L221,Data_Validation!$A:$D,1,0)</f>
        <v>5711</v>
      </c>
      <c r="U221" s="656" t="str">
        <f>+VLOOKUP($L221,Data_Validation!$A:$D,3,0)</f>
        <v>Pièces</v>
      </c>
      <c r="V221" s="656" t="str">
        <f>+VLOOKUP($L221,Data_Validation!$A:$D,4,0)</f>
        <v>Pièces Ro Clients</v>
      </c>
      <c r="W221" s="656" t="str">
        <f>+VLOOKUP($L221,Data_Validation!$A:$E,5,0)</f>
        <v>$</v>
      </c>
      <c r="X221" s="656">
        <f>+VLOOKUP($L221,Data_Validation!$A:$F,6,0)</f>
        <v>0</v>
      </c>
    </row>
    <row r="222" spans="1:24" ht="15" customHeight="1">
      <c r="A222" s="1329" t="s">
        <v>3677</v>
      </c>
      <c r="B222" s="1329" t="s">
        <v>2214</v>
      </c>
      <c r="C222" s="1331">
        <v>970.17</v>
      </c>
      <c r="D222" s="1331">
        <v>376.87</v>
      </c>
      <c r="E222" s="1331">
        <v>1347.04</v>
      </c>
      <c r="F222" s="1329" t="s">
        <v>1110</v>
      </c>
      <c r="G222" s="1329" t="s">
        <v>1086</v>
      </c>
      <c r="H222" s="1329" t="s">
        <v>3942</v>
      </c>
      <c r="I222" s="670"/>
      <c r="J222" s="651"/>
      <c r="K222" s="670"/>
      <c r="L222" s="653" t="str">
        <f t="shared" si="171"/>
        <v>5731</v>
      </c>
      <c r="M222" s="654" t="str">
        <f t="shared" si="172"/>
        <v>VW-P&amp;A-P&amp;BRO-CLIENT - MCI</v>
      </c>
      <c r="N222" s="655">
        <f>+IF(OR($Q222=Parametres!$G$2,$Q222=Parametres!$G$3),I222,C222)</f>
        <v>970.17</v>
      </c>
      <c r="O222" s="655">
        <f>+IF(OR($Q222=Parametres!$G$2,$Q222=Parametres!$G$3),J222,D222)</f>
        <v>376.87</v>
      </c>
      <c r="P222" s="655">
        <f>+IF(OR($Q222=Parametres!$G$2,$Q222=Parametres!$G$3),K222,E222)</f>
        <v>1347.04</v>
      </c>
      <c r="Q222" s="654" t="str">
        <f t="shared" si="173"/>
        <v>6-Coût des ventes</v>
      </c>
      <c r="R222" s="653" t="str">
        <f t="shared" si="174"/>
        <v>4731</v>
      </c>
      <c r="S222" s="654" t="str">
        <f t="shared" si="175"/>
        <v>_</v>
      </c>
      <c r="T222" s="656" t="str">
        <f>+VLOOKUP($L222,Data_Validation!$A:$D,1,0)</f>
        <v>5731</v>
      </c>
      <c r="U222" s="656" t="str">
        <f>+VLOOKUP($L222,Data_Validation!$A:$D,3,0)</f>
        <v>Pièces</v>
      </c>
      <c r="V222" s="656" t="str">
        <f>+VLOOKUP($L222,Data_Validation!$A:$D,4,0)</f>
        <v>Pièces Ro Carrosserie</v>
      </c>
      <c r="W222" s="656" t="str">
        <f>+VLOOKUP($L222,Data_Validation!$A:$E,5,0)</f>
        <v>$</v>
      </c>
      <c r="X222" s="656">
        <f>+VLOOKUP($L222,Data_Validation!$A:$F,6,0)</f>
        <v>0</v>
      </c>
    </row>
    <row r="223" spans="1:24" ht="15" customHeight="1">
      <c r="A223" s="1329" t="s">
        <v>3678</v>
      </c>
      <c r="B223" s="1329" t="s">
        <v>2217</v>
      </c>
      <c r="C223" s="1331">
        <v>43183.88</v>
      </c>
      <c r="D223" s="1331">
        <v>79238.41</v>
      </c>
      <c r="E223" s="1331">
        <v>122422.29</v>
      </c>
      <c r="F223" s="1329" t="s">
        <v>1110</v>
      </c>
      <c r="G223" s="1329" t="s">
        <v>1090</v>
      </c>
      <c r="H223" s="1329" t="s">
        <v>3942</v>
      </c>
      <c r="I223" s="1100"/>
      <c r="J223" s="1100"/>
      <c r="K223" s="1100"/>
      <c r="L223" s="653" t="str">
        <f t="shared" si="171"/>
        <v>5733</v>
      </c>
      <c r="M223" s="654" t="str">
        <f t="shared" si="172"/>
        <v>VW-P&amp;A-P&amp;BRO-GARANTIE - MCI</v>
      </c>
      <c r="N223" s="655">
        <f>+IF(OR($Q223=Parametres!$G$2,$Q223=Parametres!$G$3),I223,C223)</f>
        <v>43183.88</v>
      </c>
      <c r="O223" s="655">
        <f>+IF(OR($Q223=Parametres!$G$2,$Q223=Parametres!$G$3),J223,D223)</f>
        <v>79238.41</v>
      </c>
      <c r="P223" s="655">
        <f>+IF(OR($Q223=Parametres!$G$2,$Q223=Parametres!$G$3),K223,E223)</f>
        <v>122422.29</v>
      </c>
      <c r="Q223" s="654" t="str">
        <f t="shared" si="173"/>
        <v>6-Coût des ventes</v>
      </c>
      <c r="R223" s="653" t="str">
        <f t="shared" si="174"/>
        <v>4733</v>
      </c>
      <c r="S223" s="654" t="str">
        <f t="shared" si="175"/>
        <v>_</v>
      </c>
      <c r="T223" s="656" t="str">
        <f>+VLOOKUP($L223,Data_Validation!$A:$D,1,0)</f>
        <v>5733</v>
      </c>
      <c r="U223" s="656" t="str">
        <f>+VLOOKUP($L223,Data_Validation!$A:$D,3,0)</f>
        <v>Pièces</v>
      </c>
      <c r="V223" s="656" t="str">
        <f>+VLOOKUP($L223,Data_Validation!$A:$D,4,0)</f>
        <v>Pièces Ro Carrosserie</v>
      </c>
      <c r="W223" s="656" t="str">
        <f>+VLOOKUP($L223,Data_Validation!$A:$E,5,0)</f>
        <v>$</v>
      </c>
      <c r="X223" s="656">
        <f>+VLOOKUP($L223,Data_Validation!$A:$F,6,0)</f>
        <v>0</v>
      </c>
    </row>
    <row r="224" spans="1:24" ht="15" customHeight="1">
      <c r="A224" s="1329" t="s">
        <v>3679</v>
      </c>
      <c r="B224" s="1329" t="s">
        <v>2220</v>
      </c>
      <c r="C224" s="1331">
        <v>258.24</v>
      </c>
      <c r="D224" s="1331">
        <v>0</v>
      </c>
      <c r="E224" s="1331">
        <v>258.24</v>
      </c>
      <c r="F224" s="1329" t="s">
        <v>1110</v>
      </c>
      <c r="G224" s="1329" t="s">
        <v>1094</v>
      </c>
      <c r="H224" s="1329" t="s">
        <v>3942</v>
      </c>
      <c r="I224" s="1100"/>
      <c r="J224" s="1100"/>
      <c r="K224" s="1100"/>
      <c r="L224" s="653" t="str">
        <f t="shared" si="171"/>
        <v>5735</v>
      </c>
      <c r="M224" s="654" t="str">
        <f t="shared" si="172"/>
        <v>VW-P&amp;A-P&amp;BRO-INTERNE - MCI</v>
      </c>
      <c r="N224" s="655">
        <f>+IF(OR($Q224=Parametres!$G$2,$Q224=Parametres!$G$3),I224,C224)</f>
        <v>258.24</v>
      </c>
      <c r="O224" s="655">
        <f>+IF(OR($Q224=Parametres!$G$2,$Q224=Parametres!$G$3),J224,D224)</f>
        <v>0</v>
      </c>
      <c r="P224" s="655">
        <f>+IF(OR($Q224=Parametres!$G$2,$Q224=Parametres!$G$3),K224,E224)</f>
        <v>258.24</v>
      </c>
      <c r="Q224" s="654" t="str">
        <f t="shared" si="173"/>
        <v>6-Coût des ventes</v>
      </c>
      <c r="R224" s="653" t="str">
        <f t="shared" si="174"/>
        <v>4735</v>
      </c>
      <c r="S224" s="654" t="str">
        <f t="shared" si="175"/>
        <v>_</v>
      </c>
      <c r="T224" s="656" t="str">
        <f>+VLOOKUP($L224,Data_Validation!$A:$D,1,0)</f>
        <v>5735</v>
      </c>
      <c r="U224" s="656" t="str">
        <f>+VLOOKUP($L224,Data_Validation!$A:$D,3,0)</f>
        <v>Pièces</v>
      </c>
      <c r="V224" s="656" t="str">
        <f>+VLOOKUP($L224,Data_Validation!$A:$D,4,0)</f>
        <v>Pièces Ro Carrosserie</v>
      </c>
      <c r="W224" s="656" t="str">
        <f>+VLOOKUP($L224,Data_Validation!$A:$E,5,0)</f>
        <v>$</v>
      </c>
      <c r="X224" s="656">
        <f>+VLOOKUP($L224,Data_Validation!$A:$F,6,0)</f>
        <v>0</v>
      </c>
    </row>
    <row r="225" spans="1:24" ht="15.75" customHeight="1">
      <c r="A225" s="1329" t="s">
        <v>1147</v>
      </c>
      <c r="B225" s="1329" t="s">
        <v>2223</v>
      </c>
      <c r="C225" s="1331">
        <v>8507.74</v>
      </c>
      <c r="D225" s="1331">
        <v>6226.21</v>
      </c>
      <c r="E225" s="1331">
        <v>14733.95</v>
      </c>
      <c r="F225" s="1329" t="s">
        <v>1110</v>
      </c>
      <c r="G225" s="1329" t="s">
        <v>1098</v>
      </c>
      <c r="H225" s="1329" t="s">
        <v>3942</v>
      </c>
      <c r="I225" s="1100"/>
      <c r="J225" s="1100"/>
      <c r="K225" s="1100"/>
      <c r="L225" s="653" t="str">
        <f t="shared" si="171"/>
        <v>5761</v>
      </c>
      <c r="M225" s="654" t="str">
        <f t="shared" si="172"/>
        <v>C/V - P&amp;A VW COMPTOIR - DETAIL</v>
      </c>
      <c r="N225" s="655">
        <f>+IF(OR($Q225=Parametres!$G$2,$Q225=Parametres!$G$3),I225,C225)</f>
        <v>8507.74</v>
      </c>
      <c r="O225" s="655">
        <f>+IF(OR($Q225=Parametres!$G$2,$Q225=Parametres!$G$3),J225,D225)</f>
        <v>6226.21</v>
      </c>
      <c r="P225" s="655">
        <f>+IF(OR($Q225=Parametres!$G$2,$Q225=Parametres!$G$3),K225,E225)</f>
        <v>14733.95</v>
      </c>
      <c r="Q225" s="654" t="str">
        <f t="shared" si="173"/>
        <v>6-Coût des ventes</v>
      </c>
      <c r="R225" s="653" t="str">
        <f t="shared" si="174"/>
        <v>4761</v>
      </c>
      <c r="S225" s="654" t="str">
        <f t="shared" si="175"/>
        <v>_</v>
      </c>
      <c r="T225" s="656" t="str">
        <f>+VLOOKUP($L225,Data_Validation!$A:$D,1,0)</f>
        <v>5761</v>
      </c>
      <c r="U225" s="656" t="str">
        <f>+VLOOKUP($L225,Data_Validation!$A:$D,3,0)</f>
        <v>Pièces</v>
      </c>
      <c r="V225" s="656" t="str">
        <f>+VLOOKUP($L225,Data_Validation!$A:$D,4,0)</f>
        <v>Ventes Détails</v>
      </c>
      <c r="W225" s="656" t="str">
        <f>+VLOOKUP($L225,Data_Validation!$A:$E,5,0)</f>
        <v>$</v>
      </c>
      <c r="X225" s="656">
        <f>+VLOOKUP($L225,Data_Validation!$A:$F,6,0)</f>
        <v>0</v>
      </c>
    </row>
    <row r="226" spans="1:24" ht="15" customHeight="1">
      <c r="A226" s="1329" t="s">
        <v>1148</v>
      </c>
      <c r="B226" s="1329" t="s">
        <v>2226</v>
      </c>
      <c r="C226" s="1331">
        <v>227205.37</v>
      </c>
      <c r="D226" s="1331">
        <v>168026.57</v>
      </c>
      <c r="E226" s="1331">
        <v>395231.94</v>
      </c>
      <c r="F226" s="1329" t="s">
        <v>1110</v>
      </c>
      <c r="G226" s="1329" t="s">
        <v>1102</v>
      </c>
      <c r="H226" s="1329" t="s">
        <v>3942</v>
      </c>
      <c r="I226" s="670"/>
      <c r="J226" s="651"/>
      <c r="K226" s="670"/>
      <c r="L226" s="653" t="str">
        <f t="shared" si="171"/>
        <v>5763</v>
      </c>
      <c r="M226" s="654" t="str">
        <f t="shared" si="172"/>
        <v>C/V - P&amp;A VW COMPTOIR GROS - ECHANGE</v>
      </c>
      <c r="N226" s="655">
        <f>+IF(OR($Q226=Parametres!$G$2,$Q226=Parametres!$G$3),I226,C226)</f>
        <v>227205.37</v>
      </c>
      <c r="O226" s="655">
        <f>+IF(OR($Q226=Parametres!$G$2,$Q226=Parametres!$G$3),J226,D226)</f>
        <v>168026.57</v>
      </c>
      <c r="P226" s="655">
        <f>+IF(OR($Q226=Parametres!$G$2,$Q226=Parametres!$G$3),K226,E226)</f>
        <v>395231.94</v>
      </c>
      <c r="Q226" s="654" t="str">
        <f t="shared" si="173"/>
        <v>6-Coût des ventes</v>
      </c>
      <c r="R226" s="653" t="str">
        <f t="shared" si="174"/>
        <v>4763</v>
      </c>
      <c r="S226" s="654" t="str">
        <f t="shared" si="175"/>
        <v>_</v>
      </c>
      <c r="T226" s="656" t="str">
        <f>+VLOOKUP($L226,Data_Validation!$A:$D,1,0)</f>
        <v>5763</v>
      </c>
      <c r="U226" s="656" t="str">
        <f>+VLOOKUP($L226,Data_Validation!$A:$D,3,0)</f>
        <v>Pièces</v>
      </c>
      <c r="V226" s="656" t="str">
        <f>+VLOOKUP($L226,Data_Validation!$A:$D,4,0)</f>
        <v>Ventes de Gros</v>
      </c>
      <c r="W226" s="656" t="str">
        <f>+VLOOKUP($L226,Data_Validation!$A:$E,5,0)</f>
        <v>$</v>
      </c>
      <c r="X226" s="656">
        <f>+VLOOKUP($L226,Data_Validation!$A:$F,6,0)</f>
        <v>0</v>
      </c>
    </row>
    <row r="227" spans="1:24" ht="15" customHeight="1">
      <c r="A227" s="1329" t="s">
        <v>3682</v>
      </c>
      <c r="B227" s="1329" t="s">
        <v>3683</v>
      </c>
      <c r="C227" s="1331">
        <v>5740.2</v>
      </c>
      <c r="D227" s="1331">
        <v>5992.29</v>
      </c>
      <c r="E227" s="1331">
        <v>11732.49</v>
      </c>
      <c r="F227" s="1329" t="s">
        <v>1110</v>
      </c>
      <c r="G227" s="1329" t="s">
        <v>3684</v>
      </c>
      <c r="H227" s="1329" t="s">
        <v>3942</v>
      </c>
      <c r="I227" s="652"/>
      <c r="J227" s="652"/>
      <c r="K227" s="652"/>
      <c r="L227" s="653" t="str">
        <f t="shared" si="171"/>
        <v>5773</v>
      </c>
      <c r="M227" s="654" t="str">
        <f t="shared" si="172"/>
        <v>C/V - P&amp;A - COMPTOIR - ENGROS - AUDI</v>
      </c>
      <c r="N227" s="655">
        <f>+IF(OR($Q227=Parametres!$G$2,$Q227=Parametres!$G$3),I227,C227)</f>
        <v>5740.2</v>
      </c>
      <c r="O227" s="655">
        <f>+IF(OR($Q227=Parametres!$G$2,$Q227=Parametres!$G$3),J227,D227)</f>
        <v>5992.29</v>
      </c>
      <c r="P227" s="655">
        <f>+IF(OR($Q227=Parametres!$G$2,$Q227=Parametres!$G$3),K227,E227)</f>
        <v>11732.49</v>
      </c>
      <c r="Q227" s="654" t="str">
        <f t="shared" si="173"/>
        <v>6-Coût des ventes</v>
      </c>
      <c r="R227" s="653" t="str">
        <f t="shared" si="174"/>
        <v>4773</v>
      </c>
      <c r="S227" s="654" t="str">
        <f t="shared" si="175"/>
        <v>_</v>
      </c>
      <c r="T227" s="656" t="str">
        <f>+VLOOKUP($L227,Data_Validation!$A:$D,1,0)</f>
        <v>5773</v>
      </c>
      <c r="U227" s="656" t="str">
        <f>+VLOOKUP($L227,Data_Validation!$A:$D,3,0)</f>
        <v>Pièces</v>
      </c>
      <c r="V227" s="656" t="str">
        <f>+VLOOKUP($L227,Data_Validation!$A:$D,4,0)</f>
        <v>Ventes de Gros</v>
      </c>
      <c r="W227" s="656" t="str">
        <f>+VLOOKUP($L227,Data_Validation!$A:$E,5,0)</f>
        <v>$</v>
      </c>
      <c r="X227" s="656">
        <f>+VLOOKUP($L227,Data_Validation!$A:$F,6,0)</f>
        <v>0</v>
      </c>
    </row>
    <row r="228" spans="1:24" ht="15" customHeight="1">
      <c r="A228" s="1329" t="s">
        <v>1149</v>
      </c>
      <c r="B228" s="1329" t="s">
        <v>2229</v>
      </c>
      <c r="C228" s="1331">
        <v>53792.75</v>
      </c>
      <c r="D228" s="1331">
        <v>46897.15</v>
      </c>
      <c r="E228" s="1331">
        <v>100689.9</v>
      </c>
      <c r="F228" s="1329" t="s">
        <v>1110</v>
      </c>
      <c r="G228" s="1329" t="s">
        <v>1106</v>
      </c>
      <c r="H228" s="1329" t="s">
        <v>3942</v>
      </c>
      <c r="I228" s="652"/>
      <c r="J228" s="652"/>
      <c r="K228" s="652"/>
      <c r="L228" s="653" t="str">
        <f t="shared" si="171"/>
        <v>5781</v>
      </c>
      <c r="M228" s="654" t="str">
        <f t="shared" si="172"/>
        <v>COUT PNEUS</v>
      </c>
      <c r="N228" s="655">
        <f>+IF(OR($Q228=Parametres!$G$2,$Q228=Parametres!$G$3),I228,C228)</f>
        <v>53792.75</v>
      </c>
      <c r="O228" s="655">
        <f>+IF(OR($Q228=Parametres!$G$2,$Q228=Parametres!$G$3),J228,D228)</f>
        <v>46897.15</v>
      </c>
      <c r="P228" s="655">
        <f>+IF(OR($Q228=Parametres!$G$2,$Q228=Parametres!$G$3),K228,E228)</f>
        <v>100689.9</v>
      </c>
      <c r="Q228" s="654" t="str">
        <f t="shared" si="173"/>
        <v>6-Coût des ventes</v>
      </c>
      <c r="R228" s="653" t="str">
        <f t="shared" si="174"/>
        <v>4781</v>
      </c>
      <c r="S228" s="654" t="str">
        <f t="shared" si="175"/>
        <v>_</v>
      </c>
      <c r="T228" s="656" t="str">
        <f>+VLOOKUP($L228,Data_Validation!$A:$D,1,0)</f>
        <v>5781</v>
      </c>
      <c r="U228" s="656" t="str">
        <f>+VLOOKUP($L228,Data_Validation!$A:$D,3,0)</f>
        <v>Pièces</v>
      </c>
      <c r="V228" s="656" t="str">
        <f>+VLOOKUP($L228,Data_Validation!$A:$D,4,0)</f>
        <v>Ventes Pneus</v>
      </c>
      <c r="W228" s="656" t="str">
        <f>+VLOOKUP($L228,Data_Validation!$A:$E,5,0)</f>
        <v>$</v>
      </c>
      <c r="X228" s="656">
        <f>+VLOOKUP($L228,Data_Validation!$A:$F,6,0)</f>
        <v>0</v>
      </c>
    </row>
    <row r="229" spans="1:24" ht="15.75" customHeight="1">
      <c r="A229" s="1329" t="s">
        <v>1150</v>
      </c>
      <c r="B229" s="1329" t="s">
        <v>2232</v>
      </c>
      <c r="C229" s="1331">
        <v>-928.4</v>
      </c>
      <c r="D229" s="1331">
        <v>303.12</v>
      </c>
      <c r="E229" s="1331">
        <v>-625.28</v>
      </c>
      <c r="F229" s="1329" t="s">
        <v>1110</v>
      </c>
      <c r="G229" s="1329" t="s">
        <v>1106</v>
      </c>
      <c r="H229" s="1329" t="s">
        <v>3942</v>
      </c>
      <c r="I229" s="672"/>
      <c r="J229" s="663"/>
      <c r="K229" s="672"/>
      <c r="L229" s="653" t="str">
        <f t="shared" si="171"/>
        <v>5785</v>
      </c>
      <c r="M229" s="654" t="str">
        <f t="shared" si="172"/>
        <v>C/V - VW PNEUS</v>
      </c>
      <c r="N229" s="655">
        <f>+IF(OR($Q229=Parametres!$G$2,$Q229=Parametres!$G$3),I229,C229)</f>
        <v>-928.4</v>
      </c>
      <c r="O229" s="655">
        <f>+IF(OR($Q229=Parametres!$G$2,$Q229=Parametres!$G$3),J229,D229)</f>
        <v>303.12</v>
      </c>
      <c r="P229" s="655">
        <f>+IF(OR($Q229=Parametres!$G$2,$Q229=Parametres!$G$3),K229,E229)</f>
        <v>-625.28</v>
      </c>
      <c r="Q229" s="654" t="str">
        <f t="shared" si="173"/>
        <v>6-Coût des ventes</v>
      </c>
      <c r="R229" s="653" t="str">
        <f t="shared" si="174"/>
        <v>4781</v>
      </c>
      <c r="S229" s="654" t="str">
        <f t="shared" si="175"/>
        <v>_</v>
      </c>
      <c r="T229" s="656" t="str">
        <f>+VLOOKUP($L229,Data_Validation!$A:$D,1,0)</f>
        <v>5785</v>
      </c>
      <c r="U229" s="656" t="str">
        <f>+VLOOKUP($L229,Data_Validation!$A:$D,3,0)</f>
        <v>Pièces</v>
      </c>
      <c r="V229" s="656" t="str">
        <f>+VLOOKUP($L229,Data_Validation!$A:$D,4,0)</f>
        <v>Ventes Pneus</v>
      </c>
      <c r="W229" s="656" t="str">
        <f>+VLOOKUP($L229,Data_Validation!$A:$E,5,0)</f>
        <v>$</v>
      </c>
      <c r="X229" s="656">
        <f>+VLOOKUP($L229,Data_Validation!$A:$F,6,0)</f>
        <v>0</v>
      </c>
    </row>
    <row r="230" spans="1:24" ht="15" customHeight="1">
      <c r="A230" s="1329" t="s">
        <v>1151</v>
      </c>
      <c r="B230" s="1329" t="s">
        <v>2237</v>
      </c>
      <c r="C230" s="1331">
        <v>2414.09</v>
      </c>
      <c r="D230" s="1331">
        <v>3357.98</v>
      </c>
      <c r="E230" s="1331">
        <v>5772.07</v>
      </c>
      <c r="F230" s="1329" t="s">
        <v>1110</v>
      </c>
      <c r="G230" s="1329" t="s">
        <v>1152</v>
      </c>
      <c r="H230" s="1329" t="s">
        <v>3942</v>
      </c>
      <c r="I230" s="670"/>
      <c r="J230" s="651"/>
      <c r="K230" s="670"/>
      <c r="L230" s="653" t="str">
        <f t="shared" si="171"/>
        <v>5796</v>
      </c>
      <c r="M230" s="654" t="str">
        <f t="shared" si="172"/>
        <v>C/V - BONI / ESCPTE PI VW</v>
      </c>
      <c r="N230" s="655">
        <f>+IF(OR($Q230=Parametres!$G$2,$Q230=Parametres!$G$3),I230,C230)</f>
        <v>2414.09</v>
      </c>
      <c r="O230" s="655">
        <f>+IF(OR($Q230=Parametres!$G$2,$Q230=Parametres!$G$3),J230,D230)</f>
        <v>3357.98</v>
      </c>
      <c r="P230" s="655">
        <f>+IF(OR($Q230=Parametres!$G$2,$Q230=Parametres!$G$3),K230,E230)</f>
        <v>5772.07</v>
      </c>
      <c r="Q230" s="654" t="str">
        <f t="shared" si="173"/>
        <v>6-Coût des ventes</v>
      </c>
      <c r="R230" s="653" t="str">
        <f t="shared" si="174"/>
        <v>5792</v>
      </c>
      <c r="S230" s="654" t="str">
        <f t="shared" si="175"/>
        <v>_</v>
      </c>
      <c r="T230" s="656" t="str">
        <f>+VLOOKUP($L230,Data_Validation!$A:$D,1,0)</f>
        <v>5796</v>
      </c>
      <c r="U230" s="656" t="str">
        <f>+VLOOKUP($L230,Data_Validation!$A:$D,3,0)</f>
        <v>Pièces</v>
      </c>
      <c r="V230" s="656" t="str">
        <f>+VLOOKUP($L230,Data_Validation!$A:$D,4,0)</f>
        <v>Escomptes</v>
      </c>
      <c r="W230" s="656" t="str">
        <f>+VLOOKUP($L230,Data_Validation!$A:$E,5,0)</f>
        <v>$</v>
      </c>
      <c r="X230" s="656">
        <f>+VLOOKUP($L230,Data_Validation!$A:$F,6,0)</f>
        <v>0</v>
      </c>
    </row>
    <row r="231" spans="1:24" ht="15" customHeight="1">
      <c r="A231" s="1329" t="s">
        <v>1153</v>
      </c>
      <c r="B231" s="1329" t="s">
        <v>1155</v>
      </c>
      <c r="C231" s="1331">
        <v>33454.480000000003</v>
      </c>
      <c r="D231" s="1331">
        <v>39939.440000000002</v>
      </c>
      <c r="E231" s="1331">
        <v>73393.919999999998</v>
      </c>
      <c r="F231" s="1329" t="s">
        <v>1154</v>
      </c>
      <c r="G231" s="1329" t="s">
        <v>1155</v>
      </c>
      <c r="H231" s="1329" t="s">
        <v>3942</v>
      </c>
      <c r="I231" s="652"/>
      <c r="J231" s="652"/>
      <c r="K231" s="652"/>
      <c r="L231" s="653" t="str">
        <f t="shared" si="171"/>
        <v>6101</v>
      </c>
      <c r="M231" s="654" t="str">
        <f t="shared" si="172"/>
        <v>COMMISSION VENDEUR NEUFS</v>
      </c>
      <c r="N231" s="655">
        <f>+IF(OR($Q231=Parametres!$G$2,$Q231=Parametres!$G$3),I231,C231)</f>
        <v>33454.480000000003</v>
      </c>
      <c r="O231" s="655">
        <f>+IF(OR($Q231=Parametres!$G$2,$Q231=Parametres!$G$3),J231,D231)</f>
        <v>39939.440000000002</v>
      </c>
      <c r="P231" s="655">
        <f>+IF(OR($Q231=Parametres!$G$2,$Q231=Parametres!$G$3),K231,E231)</f>
        <v>73393.919999999998</v>
      </c>
      <c r="Q231" s="654" t="str">
        <f t="shared" si="173"/>
        <v>7-Dépenses</v>
      </c>
      <c r="R231" s="653" t="str">
        <f t="shared" si="174"/>
        <v>6101</v>
      </c>
      <c r="S231" s="654" t="str">
        <f t="shared" si="175"/>
        <v>_</v>
      </c>
      <c r="T231" s="656" t="str">
        <f>+VLOOKUP($L231,Data_Validation!$A:$D,1,0)</f>
        <v>6101</v>
      </c>
      <c r="U231" s="656" t="str">
        <f>+VLOOKUP($L231,Data_Validation!$A:$D,3,0)</f>
        <v>Véhicules neufs</v>
      </c>
      <c r="V231" s="656" t="str">
        <f>+VLOOKUP($L231,Data_Validation!$A:$D,4,0)</f>
        <v>Comm. vendeurs</v>
      </c>
      <c r="W231" s="656" t="str">
        <f>+VLOOKUP($L231,Data_Validation!$A:$E,5,0)</f>
        <v>$</v>
      </c>
      <c r="X231" s="656">
        <f>+VLOOKUP($L231,Data_Validation!$A:$F,6,0)</f>
        <v>0</v>
      </c>
    </row>
    <row r="232" spans="1:24" ht="15" customHeight="1">
      <c r="A232" s="1329" t="s">
        <v>1156</v>
      </c>
      <c r="B232" s="1329" t="s">
        <v>1157</v>
      </c>
      <c r="C232" s="1331">
        <v>10053.290000000001</v>
      </c>
      <c r="D232" s="1331">
        <v>9333.16</v>
      </c>
      <c r="E232" s="1331">
        <v>19386.45</v>
      </c>
      <c r="F232" s="1329" t="s">
        <v>1154</v>
      </c>
      <c r="G232" s="1329" t="s">
        <v>1157</v>
      </c>
      <c r="H232" s="1329" t="s">
        <v>3942</v>
      </c>
      <c r="I232" s="652"/>
      <c r="J232" s="652"/>
      <c r="K232" s="652"/>
      <c r="L232" s="653" t="str">
        <f t="shared" si="171"/>
        <v>6102</v>
      </c>
      <c r="M232" s="654" t="str">
        <f t="shared" si="172"/>
        <v>RENUMERATION F &amp; I</v>
      </c>
      <c r="N232" s="655">
        <f>+IF(OR($Q232=Parametres!$G$2,$Q232=Parametres!$G$3),I232,C232)</f>
        <v>10053.290000000001</v>
      </c>
      <c r="O232" s="655">
        <f>+IF(OR($Q232=Parametres!$G$2,$Q232=Parametres!$G$3),J232,D232)</f>
        <v>9333.16</v>
      </c>
      <c r="P232" s="655">
        <f>+IF(OR($Q232=Parametres!$G$2,$Q232=Parametres!$G$3),K232,E232)</f>
        <v>19386.45</v>
      </c>
      <c r="Q232" s="654" t="str">
        <f t="shared" si="173"/>
        <v>7-Dépenses</v>
      </c>
      <c r="R232" s="653" t="str">
        <f t="shared" si="174"/>
        <v>6102</v>
      </c>
      <c r="S232" s="654" t="str">
        <f t="shared" si="175"/>
        <v>_</v>
      </c>
      <c r="T232" s="656" t="str">
        <f>+VLOOKUP($L232,Data_Validation!$A:$D,1,0)</f>
        <v>6102</v>
      </c>
      <c r="U232" s="656" t="str">
        <f>+VLOOKUP($L232,Data_Validation!$A:$D,3,0)</f>
        <v>Véhicules neufs</v>
      </c>
      <c r="V232" s="656" t="str">
        <f>+VLOOKUP($L232,Data_Validation!$A:$D,4,0)</f>
        <v>Comm. F&amp;I</v>
      </c>
      <c r="W232" s="656" t="str">
        <f>+VLOOKUP($L232,Data_Validation!$A:$E,5,0)</f>
        <v>$</v>
      </c>
      <c r="X232" s="656">
        <f>+VLOOKUP($L232,Data_Validation!$A:$F,6,0)</f>
        <v>0</v>
      </c>
    </row>
    <row r="233" spans="1:24" ht="15" customHeight="1">
      <c r="A233" s="1329" t="s">
        <v>1160</v>
      </c>
      <c r="B233" s="1329" t="s">
        <v>1161</v>
      </c>
      <c r="C233" s="1331">
        <v>6804.49</v>
      </c>
      <c r="D233" s="1331">
        <v>5950.33</v>
      </c>
      <c r="E233" s="1331">
        <v>12754.82</v>
      </c>
      <c r="F233" s="1329" t="s">
        <v>1154</v>
      </c>
      <c r="G233" s="1329" t="s">
        <v>1161</v>
      </c>
      <c r="H233" s="1329" t="s">
        <v>3942</v>
      </c>
      <c r="I233" s="660"/>
      <c r="J233" s="660"/>
      <c r="K233" s="660"/>
      <c r="L233" s="653" t="str">
        <f t="shared" si="171"/>
        <v>6106</v>
      </c>
      <c r="M233" s="654" t="str">
        <f t="shared" si="172"/>
        <v>ENTRETIEN DES STOCKS</v>
      </c>
      <c r="N233" s="655">
        <f>+IF(OR($Q233=Parametres!$G$2,$Q233=Parametres!$G$3),I233,C233)</f>
        <v>6804.49</v>
      </c>
      <c r="O233" s="655">
        <f>+IF(OR($Q233=Parametres!$G$2,$Q233=Parametres!$G$3),J233,D233)</f>
        <v>5950.33</v>
      </c>
      <c r="P233" s="655">
        <f>+IF(OR($Q233=Parametres!$G$2,$Q233=Parametres!$G$3),K233,E233)</f>
        <v>12754.82</v>
      </c>
      <c r="Q233" s="654" t="str">
        <f t="shared" si="173"/>
        <v>7-Dépenses</v>
      </c>
      <c r="R233" s="653" t="str">
        <f t="shared" si="174"/>
        <v>6106</v>
      </c>
      <c r="S233" s="654" t="str">
        <f t="shared" si="175"/>
        <v>_</v>
      </c>
      <c r="T233" s="656" t="str">
        <f>+VLOOKUP($L233,Data_Validation!$A:$D,1,0)</f>
        <v>6106</v>
      </c>
      <c r="U233" s="656" t="str">
        <f>+VLOOKUP($L233,Data_Validation!$A:$D,3,0)</f>
        <v>Véhicules neufs</v>
      </c>
      <c r="V233" s="656" t="str">
        <f>+VLOOKUP($L233,Data_Validation!$A:$D,4,0)</f>
        <v>Entretien stock</v>
      </c>
      <c r="W233" s="656" t="str">
        <f>+VLOOKUP($L233,Data_Validation!$A:$E,5,0)</f>
        <v>$</v>
      </c>
      <c r="X233" s="656">
        <f>+VLOOKUP($L233,Data_Validation!$A:$F,6,0)</f>
        <v>0</v>
      </c>
    </row>
    <row r="234" spans="1:24" ht="15.75" customHeight="1">
      <c r="A234" s="1329" t="s">
        <v>1162</v>
      </c>
      <c r="B234" s="1329" t="s">
        <v>1163</v>
      </c>
      <c r="C234" s="1331">
        <v>24736.21</v>
      </c>
      <c r="D234" s="1331">
        <v>24123.97</v>
      </c>
      <c r="E234" s="1331">
        <v>48860.18</v>
      </c>
      <c r="F234" s="1329" t="s">
        <v>1154</v>
      </c>
      <c r="G234" s="1329" t="s">
        <v>1163</v>
      </c>
      <c r="H234" s="1329" t="s">
        <v>3942</v>
      </c>
      <c r="I234" s="652"/>
      <c r="J234" s="652"/>
      <c r="K234" s="652"/>
      <c r="L234" s="653" t="str">
        <f t="shared" si="171"/>
        <v>6107</v>
      </c>
      <c r="M234" s="654" t="str">
        <f t="shared" si="172"/>
        <v>INTERET-PLAN DE FINANCEMENT</v>
      </c>
      <c r="N234" s="655">
        <f>+IF(OR($Q234=Parametres!$G$2,$Q234=Parametres!$G$3),I234,C234)</f>
        <v>24736.21</v>
      </c>
      <c r="O234" s="655">
        <f>+IF(OR($Q234=Parametres!$G$2,$Q234=Parametres!$G$3),J234,D234)</f>
        <v>24123.97</v>
      </c>
      <c r="P234" s="655">
        <f>+IF(OR($Q234=Parametres!$G$2,$Q234=Parametres!$G$3),K234,E234)</f>
        <v>48860.18</v>
      </c>
      <c r="Q234" s="654" t="str">
        <f t="shared" si="173"/>
        <v>7-Dépenses</v>
      </c>
      <c r="R234" s="653" t="str">
        <f t="shared" si="174"/>
        <v>6107</v>
      </c>
      <c r="S234" s="654" t="str">
        <f t="shared" si="175"/>
        <v>_</v>
      </c>
      <c r="T234" s="656" t="str">
        <f>+VLOOKUP($L234,Data_Validation!$A:$D,1,0)</f>
        <v>6107</v>
      </c>
      <c r="U234" s="656" t="str">
        <f>+VLOOKUP($L234,Data_Validation!$A:$D,3,0)</f>
        <v>Véhicules neufs</v>
      </c>
      <c r="V234" s="656" t="str">
        <f>+VLOOKUP($L234,Data_Validation!$A:$D,4,0)</f>
        <v>Intérêt de gros</v>
      </c>
      <c r="W234" s="656" t="str">
        <f>+VLOOKUP($L234,Data_Validation!$A:$E,5,0)</f>
        <v>$</v>
      </c>
      <c r="X234" s="656">
        <f>+VLOOKUP($L234,Data_Validation!$A:$F,6,0)</f>
        <v>0</v>
      </c>
    </row>
    <row r="235" spans="1:24" ht="15" customHeight="1">
      <c r="A235" s="1329" t="s">
        <v>1164</v>
      </c>
      <c r="B235" s="1329" t="s">
        <v>1165</v>
      </c>
      <c r="C235" s="1331">
        <v>3096.38</v>
      </c>
      <c r="D235" s="1331">
        <v>3148.54</v>
      </c>
      <c r="E235" s="1331">
        <v>6244.92</v>
      </c>
      <c r="F235" s="1329" t="s">
        <v>1154</v>
      </c>
      <c r="G235" s="1329" t="s">
        <v>1165</v>
      </c>
      <c r="H235" s="1329" t="s">
        <v>3942</v>
      </c>
      <c r="I235" s="652"/>
      <c r="J235" s="652"/>
      <c r="K235" s="652"/>
      <c r="L235" s="653" t="str">
        <f t="shared" si="171"/>
        <v>6108</v>
      </c>
      <c r="M235" s="654" t="str">
        <f t="shared" si="172"/>
        <v>FRAIS DE LIVRAISON</v>
      </c>
      <c r="N235" s="655">
        <f>+IF(OR($Q235=Parametres!$G$2,$Q235=Parametres!$G$3),I235,C235)</f>
        <v>3096.38</v>
      </c>
      <c r="O235" s="655">
        <f>+IF(OR($Q235=Parametres!$G$2,$Q235=Parametres!$G$3),J235,D235)</f>
        <v>3148.54</v>
      </c>
      <c r="P235" s="655">
        <f>+IF(OR($Q235=Parametres!$G$2,$Q235=Parametres!$G$3),K235,E235)</f>
        <v>6244.92</v>
      </c>
      <c r="Q235" s="654" t="str">
        <f t="shared" si="173"/>
        <v>7-Dépenses</v>
      </c>
      <c r="R235" s="653" t="str">
        <f t="shared" si="174"/>
        <v>6108</v>
      </c>
      <c r="S235" s="654" t="str">
        <f t="shared" si="175"/>
        <v>_</v>
      </c>
      <c r="T235" s="656" t="str">
        <f>+VLOOKUP($L235,Data_Validation!$A:$D,1,0)</f>
        <v>6108</v>
      </c>
      <c r="U235" s="656" t="str">
        <f>+VLOOKUP($L235,Data_Validation!$A:$D,3,0)</f>
        <v>Véhicules neufs</v>
      </c>
      <c r="V235" s="656" t="str">
        <f>+VLOOKUP($L235,Data_Validation!$A:$D,4,0)</f>
        <v>Frais de livraison</v>
      </c>
      <c r="W235" s="656" t="str">
        <f>+VLOOKUP($L235,Data_Validation!$A:$E,5,0)</f>
        <v>$</v>
      </c>
      <c r="X235" s="656">
        <f>+VLOOKUP($L235,Data_Validation!$A:$F,6,0)</f>
        <v>0</v>
      </c>
    </row>
    <row r="236" spans="1:24" ht="15" customHeight="1">
      <c r="A236" s="1329" t="s">
        <v>1166</v>
      </c>
      <c r="B236" s="1329" t="s">
        <v>1167</v>
      </c>
      <c r="C236" s="1331">
        <v>12527.11</v>
      </c>
      <c r="D236" s="1331">
        <v>8368.5499999999993</v>
      </c>
      <c r="E236" s="1331">
        <v>20895.66</v>
      </c>
      <c r="F236" s="1329" t="s">
        <v>1154</v>
      </c>
      <c r="G236" s="1329" t="s">
        <v>1167</v>
      </c>
      <c r="H236" s="1329" t="s">
        <v>3942</v>
      </c>
      <c r="I236" s="652"/>
      <c r="J236" s="652"/>
      <c r="K236" s="652"/>
      <c r="L236" s="653" t="str">
        <f t="shared" si="171"/>
        <v>6114</v>
      </c>
      <c r="M236" s="654" t="str">
        <f t="shared" si="172"/>
        <v>PUBLICITE</v>
      </c>
      <c r="N236" s="655">
        <f>+IF(OR($Q236=Parametres!$G$2,$Q236=Parametres!$G$3),I236,C236)</f>
        <v>12527.11</v>
      </c>
      <c r="O236" s="655">
        <f>+IF(OR($Q236=Parametres!$G$2,$Q236=Parametres!$G$3),J236,D236)</f>
        <v>8368.5499999999993</v>
      </c>
      <c r="P236" s="655">
        <f>+IF(OR($Q236=Parametres!$G$2,$Q236=Parametres!$G$3),K236,E236)</f>
        <v>20895.66</v>
      </c>
      <c r="Q236" s="654" t="str">
        <f t="shared" si="173"/>
        <v>7-Dépenses</v>
      </c>
      <c r="R236" s="653" t="str">
        <f t="shared" si="174"/>
        <v>6114</v>
      </c>
      <c r="S236" s="654" t="str">
        <f t="shared" si="175"/>
        <v>_</v>
      </c>
      <c r="T236" s="656" t="str">
        <f>+VLOOKUP($L236,Data_Validation!$A:$D,1,0)</f>
        <v>6114</v>
      </c>
      <c r="U236" s="656" t="str">
        <f>+VLOOKUP($L236,Data_Validation!$A:$D,3,0)</f>
        <v>Véhicules neufs</v>
      </c>
      <c r="V236" s="656" t="str">
        <f>+VLOOKUP($L236,Data_Validation!$A:$D,4,0)</f>
        <v>Publicité 1</v>
      </c>
      <c r="W236" s="656" t="str">
        <f>+VLOOKUP($L236,Data_Validation!$A:$E,5,0)</f>
        <v>$</v>
      </c>
      <c r="X236" s="656">
        <f>+VLOOKUP($L236,Data_Validation!$A:$F,6,0)</f>
        <v>0</v>
      </c>
    </row>
    <row r="237" spans="1:24" ht="15" customHeight="1">
      <c r="A237" s="1329" t="s">
        <v>1168</v>
      </c>
      <c r="B237" s="1329" t="s">
        <v>2257</v>
      </c>
      <c r="C237" s="1331">
        <v>-6750</v>
      </c>
      <c r="D237" s="1331">
        <v>-7650</v>
      </c>
      <c r="E237" s="1331">
        <v>-14400</v>
      </c>
      <c r="F237" s="1329" t="s">
        <v>1154</v>
      </c>
      <c r="G237" s="1329" t="s">
        <v>1167</v>
      </c>
      <c r="H237" s="1329" t="s">
        <v>3942</v>
      </c>
      <c r="I237" s="670"/>
      <c r="J237" s="651"/>
      <c r="K237" s="670"/>
      <c r="L237" s="653" t="str">
        <f t="shared" si="171"/>
        <v>6115</v>
      </c>
      <c r="M237" s="654" t="str">
        <f t="shared" si="172"/>
        <v>CREDIT PUBLICITE NEUF</v>
      </c>
      <c r="N237" s="655">
        <f>+IF(OR($Q237=Parametres!$G$2,$Q237=Parametres!$G$3),I237,C237)</f>
        <v>-6750</v>
      </c>
      <c r="O237" s="659">
        <f>+IF(OR($Q237=Parametres!$G$2,$Q237=Parametres!$G$3),J237,D237)</f>
        <v>-7650</v>
      </c>
      <c r="P237" s="655">
        <f>+IF(OR($Q237=Parametres!$G$2,$Q237=Parametres!$G$3),K237,E237)</f>
        <v>-14400</v>
      </c>
      <c r="Q237" s="654" t="str">
        <f t="shared" si="173"/>
        <v>7-Dépenses</v>
      </c>
      <c r="R237" s="653" t="str">
        <f t="shared" si="174"/>
        <v>6114</v>
      </c>
      <c r="S237" s="654" t="str">
        <f t="shared" si="175"/>
        <v>_</v>
      </c>
      <c r="T237" s="656" t="str">
        <f>+VLOOKUP($L237,Data_Validation!$A:$D,1,0)</f>
        <v>6115</v>
      </c>
      <c r="U237" s="656" t="str">
        <f>+VLOOKUP($L237,Data_Validation!$A:$D,3,0)</f>
        <v>Véhicules neufs</v>
      </c>
      <c r="V237" s="656" t="str">
        <f>+VLOOKUP($L237,Data_Validation!$A:$D,4,0)</f>
        <v>Publicité 1</v>
      </c>
      <c r="W237" s="656" t="str">
        <f>+VLOOKUP($L237,Data_Validation!$A:$E,5,0)</f>
        <v>$</v>
      </c>
      <c r="X237" s="656">
        <f>+VLOOKUP($L237,Data_Validation!$A:$F,6,0)</f>
        <v>0</v>
      </c>
    </row>
    <row r="238" spans="1:24" ht="15.75" customHeight="1">
      <c r="A238" s="1329" t="s">
        <v>3961</v>
      </c>
      <c r="B238" s="1329" t="s">
        <v>1170</v>
      </c>
      <c r="C238" s="1331">
        <v>6058.21</v>
      </c>
      <c r="D238" s="1331">
        <v>5697.36</v>
      </c>
      <c r="E238" s="1331">
        <v>11755.57</v>
      </c>
      <c r="F238" s="1329" t="s">
        <v>1154</v>
      </c>
      <c r="G238" s="1329" t="s">
        <v>1170</v>
      </c>
      <c r="H238" s="1329" t="s">
        <v>3942</v>
      </c>
      <c r="I238" s="670"/>
      <c r="J238" s="670"/>
      <c r="K238" s="670"/>
      <c r="L238" s="653" t="str">
        <f t="shared" si="171"/>
        <v>6121</v>
      </c>
      <c r="M238" s="654" t="str">
        <f t="shared" si="172"/>
        <v>SALAIRES - DIRECTION GENERALE</v>
      </c>
      <c r="N238" s="655">
        <f>+IF(OR($Q238=Parametres!$G$2,$Q238=Parametres!$G$3),I238,C238)</f>
        <v>6058.21</v>
      </c>
      <c r="O238" s="659">
        <f>+IF(OR($Q238=Parametres!$G$2,$Q238=Parametres!$G$3),J238,D238)</f>
        <v>5697.36</v>
      </c>
      <c r="P238" s="655">
        <f>+IF(OR($Q238=Parametres!$G$2,$Q238=Parametres!$G$3),K238,E238)</f>
        <v>11755.57</v>
      </c>
      <c r="Q238" s="654" t="str">
        <f t="shared" si="173"/>
        <v>7-Dépenses</v>
      </c>
      <c r="R238" s="653" t="str">
        <f t="shared" si="174"/>
        <v>6121</v>
      </c>
      <c r="S238" s="654" t="str">
        <f t="shared" si="175"/>
        <v>_</v>
      </c>
      <c r="T238" s="656" t="str">
        <f>+VLOOKUP($L238,Data_Validation!$A:$D,1,0)</f>
        <v>6121</v>
      </c>
      <c r="U238" s="656" t="str">
        <f>+VLOOKUP($L238,Data_Validation!$A:$D,3,0)</f>
        <v>Véhicules neufs</v>
      </c>
      <c r="V238" s="656" t="str">
        <f>+VLOOKUP($L238,Data_Validation!$A:$D,4,0)</f>
        <v>Salaires propriétaire</v>
      </c>
      <c r="W238" s="656" t="str">
        <f>+VLOOKUP($L238,Data_Validation!$A:$E,5,0)</f>
        <v>$</v>
      </c>
      <c r="X238" s="656">
        <f>+VLOOKUP($L238,Data_Validation!$A:$F,6,0)</f>
        <v>0</v>
      </c>
    </row>
    <row r="239" spans="1:24" ht="15" customHeight="1">
      <c r="A239" s="1329" t="s">
        <v>1171</v>
      </c>
      <c r="B239" s="1329" t="s">
        <v>1172</v>
      </c>
      <c r="C239" s="1331">
        <v>15754.29</v>
      </c>
      <c r="D239" s="1331">
        <v>12358.48</v>
      </c>
      <c r="E239" s="1331">
        <v>28112.77</v>
      </c>
      <c r="F239" s="1329" t="s">
        <v>1154</v>
      </c>
      <c r="G239" s="1329" t="s">
        <v>1172</v>
      </c>
      <c r="H239" s="1329" t="s">
        <v>3942</v>
      </c>
      <c r="I239" s="652"/>
      <c r="J239" s="652"/>
      <c r="K239" s="652"/>
      <c r="L239" s="653" t="str">
        <f t="shared" si="171"/>
        <v>6122</v>
      </c>
      <c r="M239" s="654" t="str">
        <f t="shared" si="172"/>
        <v>SAL SUPERVISION / GERANT</v>
      </c>
      <c r="N239" s="655">
        <f>+IF(OR($Q239=Parametres!$G$2,$Q239=Parametres!$G$3),I239,C239)</f>
        <v>15754.29</v>
      </c>
      <c r="O239" s="655">
        <f>+IF(OR($Q239=Parametres!$G$2,$Q239=Parametres!$G$3),J239,D239)</f>
        <v>12358.48</v>
      </c>
      <c r="P239" s="655">
        <f>+IF(OR($Q239=Parametres!$G$2,$Q239=Parametres!$G$3),K239,E239)</f>
        <v>28112.77</v>
      </c>
      <c r="Q239" s="654" t="str">
        <f t="shared" si="173"/>
        <v>7-Dépenses</v>
      </c>
      <c r="R239" s="653" t="str">
        <f t="shared" si="174"/>
        <v>6122</v>
      </c>
      <c r="S239" s="654" t="str">
        <f t="shared" si="175"/>
        <v>_</v>
      </c>
      <c r="T239" s="656" t="str">
        <f>+VLOOKUP($L239,Data_Validation!$A:$D,1,0)</f>
        <v>6122</v>
      </c>
      <c r="U239" s="656" t="str">
        <f>+VLOOKUP($L239,Data_Validation!$A:$D,3,0)</f>
        <v>Véhicules neufs</v>
      </c>
      <c r="V239" s="656" t="str">
        <f>+VLOOKUP($L239,Data_Validation!$A:$D,4,0)</f>
        <v>Salaires cadres</v>
      </c>
      <c r="W239" s="656" t="str">
        <f>+VLOOKUP($L239,Data_Validation!$A:$E,5,0)</f>
        <v>$</v>
      </c>
      <c r="X239" s="656">
        <f>+VLOOKUP($L239,Data_Validation!$A:$F,6,0)</f>
        <v>0</v>
      </c>
    </row>
    <row r="240" spans="1:24" ht="15" customHeight="1">
      <c r="A240" s="1329" t="s">
        <v>1173</v>
      </c>
      <c r="B240" s="1329" t="s">
        <v>1174</v>
      </c>
      <c r="C240" s="1331">
        <v>26610.69</v>
      </c>
      <c r="D240" s="1331">
        <v>10885.45</v>
      </c>
      <c r="E240" s="1331">
        <v>37496.14</v>
      </c>
      <c r="F240" s="1329" t="s">
        <v>1154</v>
      </c>
      <c r="G240" s="1329" t="s">
        <v>1174</v>
      </c>
      <c r="H240" s="1329" t="s">
        <v>3942</v>
      </c>
      <c r="I240" s="667"/>
      <c r="J240" s="667"/>
      <c r="K240" s="667"/>
      <c r="L240" s="653" t="str">
        <f t="shared" si="171"/>
        <v>6123</v>
      </c>
      <c r="M240" s="654" t="str">
        <f t="shared" si="172"/>
        <v>SAL. &amp; RENUM. - CLERICAL</v>
      </c>
      <c r="N240" s="655">
        <f>+IF(OR($Q240=Parametres!$G$2,$Q240=Parametres!$G$3),I240,C240)</f>
        <v>26610.69</v>
      </c>
      <c r="O240" s="655">
        <f>+IF(OR($Q240=Parametres!$G$2,$Q240=Parametres!$G$3),J240,D240)</f>
        <v>10885.45</v>
      </c>
      <c r="P240" s="655">
        <f>+IF(OR($Q240=Parametres!$G$2,$Q240=Parametres!$G$3),K240,E240)</f>
        <v>37496.14</v>
      </c>
      <c r="Q240" s="654" t="str">
        <f t="shared" si="173"/>
        <v>7-Dépenses</v>
      </c>
      <c r="R240" s="653" t="str">
        <f t="shared" si="174"/>
        <v>6123</v>
      </c>
      <c r="S240" s="654" t="str">
        <f t="shared" si="175"/>
        <v>_</v>
      </c>
      <c r="T240" s="656" t="str">
        <f>+VLOOKUP($L240,Data_Validation!$A:$D,1,0)</f>
        <v>6123</v>
      </c>
      <c r="U240" s="656" t="str">
        <f>+VLOOKUP($L240,Data_Validation!$A:$D,3,0)</f>
        <v>Véhicules neufs</v>
      </c>
      <c r="V240" s="656" t="str">
        <f>+VLOOKUP($L240,Data_Validation!$A:$D,4,0)</f>
        <v>Salaires commis</v>
      </c>
      <c r="W240" s="656" t="str">
        <f>+VLOOKUP($L240,Data_Validation!$A:$E,5,0)</f>
        <v>$</v>
      </c>
      <c r="X240" s="656">
        <f>+VLOOKUP($L240,Data_Validation!$A:$F,6,0)</f>
        <v>0</v>
      </c>
    </row>
    <row r="241" spans="1:24" ht="15" customHeight="1">
      <c r="A241" s="1329" t="s">
        <v>1175</v>
      </c>
      <c r="B241" s="1329" t="s">
        <v>1176</v>
      </c>
      <c r="C241" s="1331">
        <v>2646.49</v>
      </c>
      <c r="D241" s="1331">
        <v>6786.2</v>
      </c>
      <c r="E241" s="1331">
        <v>9432.69</v>
      </c>
      <c r="F241" s="1329" t="s">
        <v>1154</v>
      </c>
      <c r="G241" s="1329" t="s">
        <v>1176</v>
      </c>
      <c r="H241" s="1329" t="s">
        <v>3942</v>
      </c>
      <c r="I241" s="666"/>
      <c r="J241" s="666"/>
      <c r="K241" s="666"/>
      <c r="L241" s="653" t="str">
        <f t="shared" si="171"/>
        <v>6124</v>
      </c>
      <c r="M241" s="654" t="str">
        <f t="shared" si="172"/>
        <v>SALAIRES &amp; RENUM. - AUTRES</v>
      </c>
      <c r="N241" s="655">
        <f>+IF(OR($Q241=Parametres!$G$2,$Q241=Parametres!$G$3),I241,C241)</f>
        <v>2646.49</v>
      </c>
      <c r="O241" s="655">
        <f>+IF(OR($Q241=Parametres!$G$2,$Q241=Parametres!$G$3),J241,D241)</f>
        <v>6786.2</v>
      </c>
      <c r="P241" s="655">
        <f>+IF(OR($Q241=Parametres!$G$2,$Q241=Parametres!$G$3),K241,E241)</f>
        <v>9432.69</v>
      </c>
      <c r="Q241" s="654" t="str">
        <f t="shared" si="173"/>
        <v>7-Dépenses</v>
      </c>
      <c r="R241" s="653" t="str">
        <f t="shared" si="174"/>
        <v>6124</v>
      </c>
      <c r="S241" s="654" t="str">
        <f t="shared" si="175"/>
        <v>_</v>
      </c>
      <c r="T241" s="656" t="str">
        <f>+VLOOKUP($L241,Data_Validation!$A:$D,1,0)</f>
        <v>6124</v>
      </c>
      <c r="U241" s="656" t="str">
        <f>+VLOOKUP($L241,Data_Validation!$A:$D,3,0)</f>
        <v>Véhicules neufs</v>
      </c>
      <c r="V241" s="656" t="str">
        <f>+VLOOKUP($L241,Data_Validation!$A:$D,4,0)</f>
        <v>Salaires autres</v>
      </c>
      <c r="W241" s="656" t="str">
        <f>+VLOOKUP($L241,Data_Validation!$A:$E,5,0)</f>
        <v>$</v>
      </c>
      <c r="X241" s="656">
        <f>+VLOOKUP($L241,Data_Validation!$A:$F,6,0)</f>
        <v>0</v>
      </c>
    </row>
    <row r="242" spans="1:24" ht="15" customHeight="1">
      <c r="A242" s="1329" t="s">
        <v>1177</v>
      </c>
      <c r="B242" s="1329" t="s">
        <v>1178</v>
      </c>
      <c r="C242" s="1331">
        <v>15248.76</v>
      </c>
      <c r="D242" s="1331">
        <v>11121.84</v>
      </c>
      <c r="E242" s="1331">
        <v>26370.6</v>
      </c>
      <c r="F242" s="1329" t="s">
        <v>1154</v>
      </c>
      <c r="G242" s="1329" t="s">
        <v>1178</v>
      </c>
      <c r="H242" s="1329" t="s">
        <v>3942</v>
      </c>
      <c r="I242" s="666"/>
      <c r="J242" s="666"/>
      <c r="K242" s="666"/>
      <c r="L242" s="653" t="str">
        <f t="shared" si="171"/>
        <v>6129</v>
      </c>
      <c r="M242" s="654" t="str">
        <f t="shared" si="172"/>
        <v>ABS., VACANCE &amp; SAL. JOURS FER</v>
      </c>
      <c r="N242" s="655">
        <f>+IF(OR($Q242=Parametres!$G$2,$Q242=Parametres!$G$3),I242,C242)</f>
        <v>15248.76</v>
      </c>
      <c r="O242" s="655">
        <f>+IF(OR($Q242=Parametres!$G$2,$Q242=Parametres!$G$3),J242,D242)</f>
        <v>11121.84</v>
      </c>
      <c r="P242" s="655">
        <f>+IF(OR($Q242=Parametres!$G$2,$Q242=Parametres!$G$3),K242,E242)</f>
        <v>26370.6</v>
      </c>
      <c r="Q242" s="654" t="str">
        <f t="shared" si="173"/>
        <v>7-Dépenses</v>
      </c>
      <c r="R242" s="653" t="str">
        <f t="shared" si="174"/>
        <v>6129</v>
      </c>
      <c r="S242" s="654" t="str">
        <f t="shared" si="175"/>
        <v>_</v>
      </c>
      <c r="T242" s="656" t="str">
        <f>+VLOOKUP($L242,Data_Validation!$A:$D,1,0)</f>
        <v>6129</v>
      </c>
      <c r="U242" s="656" t="str">
        <f>+VLOOKUP($L242,Data_Validation!$A:$D,3,0)</f>
        <v>Véhicules neufs</v>
      </c>
      <c r="V242" s="656" t="str">
        <f>+VLOOKUP($L242,Data_Validation!$A:$D,4,0)</f>
        <v>Salaires en absences</v>
      </c>
      <c r="W242" s="656" t="str">
        <f>+VLOOKUP($L242,Data_Validation!$A:$E,5,0)</f>
        <v>$</v>
      </c>
      <c r="X242" s="656">
        <f>+VLOOKUP($L242,Data_Validation!$A:$F,6,0)</f>
        <v>0</v>
      </c>
    </row>
    <row r="243" spans="1:24" ht="15.75" customHeight="1">
      <c r="A243" s="1329" t="s">
        <v>1179</v>
      </c>
      <c r="B243" s="1329" t="s">
        <v>1180</v>
      </c>
      <c r="C243" s="1331">
        <v>2768.75</v>
      </c>
      <c r="D243" s="1331">
        <v>2272.62</v>
      </c>
      <c r="E243" s="1331">
        <v>5041.37</v>
      </c>
      <c r="F243" s="1329" t="s">
        <v>1154</v>
      </c>
      <c r="G243" s="1329" t="s">
        <v>1180</v>
      </c>
      <c r="H243" s="1329" t="s">
        <v>3942</v>
      </c>
      <c r="I243" s="667"/>
      <c r="J243" s="667"/>
      <c r="K243" s="667"/>
      <c r="L243" s="653" t="str">
        <f t="shared" si="171"/>
        <v>6131</v>
      </c>
      <c r="M243" s="654" t="str">
        <f t="shared" si="172"/>
        <v>CSST</v>
      </c>
      <c r="N243" s="655">
        <f>+IF(OR($Q243=Parametres!$G$2,$Q243=Parametres!$G$3),I243,C243)</f>
        <v>2768.75</v>
      </c>
      <c r="O243" s="659">
        <f>+IF(OR($Q243=Parametres!$G$2,$Q243=Parametres!$G$3),J243,D243)</f>
        <v>2272.62</v>
      </c>
      <c r="P243" s="655">
        <f>+IF(OR($Q243=Parametres!$G$2,$Q243=Parametres!$G$3),K243,E243)</f>
        <v>5041.37</v>
      </c>
      <c r="Q243" s="654" t="str">
        <f t="shared" si="173"/>
        <v>7-Dépenses</v>
      </c>
      <c r="R243" s="653" t="str">
        <f t="shared" si="174"/>
        <v>6131</v>
      </c>
      <c r="S243" s="654" t="str">
        <f t="shared" si="175"/>
        <v>_</v>
      </c>
      <c r="T243" s="656" t="str">
        <f>+VLOOKUP($L243,Data_Validation!$A:$D,1,0)</f>
        <v>6131</v>
      </c>
      <c r="U243" s="656" t="str">
        <f>+VLOOKUP($L243,Data_Validation!$A:$D,3,0)</f>
        <v>Véhicules neufs</v>
      </c>
      <c r="V243" s="656" t="str">
        <f>+VLOOKUP($L243,Data_Validation!$A:$D,4,0)</f>
        <v>Csst</v>
      </c>
      <c r="W243" s="656" t="str">
        <f>+VLOOKUP($L243,Data_Validation!$A:$E,5,0)</f>
        <v>$</v>
      </c>
      <c r="X243" s="656">
        <f>+VLOOKUP($L243,Data_Validation!$A:$F,6,0)</f>
        <v>0</v>
      </c>
    </row>
    <row r="244" spans="1:24" ht="15" customHeight="1">
      <c r="A244" s="1329" t="s">
        <v>1181</v>
      </c>
      <c r="B244" s="1329" t="s">
        <v>1182</v>
      </c>
      <c r="C244" s="1331">
        <v>17127.45</v>
      </c>
      <c r="D244" s="1331">
        <v>9382.76</v>
      </c>
      <c r="E244" s="1331">
        <v>26510.21</v>
      </c>
      <c r="F244" s="1329" t="s">
        <v>1154</v>
      </c>
      <c r="G244" s="1329" t="s">
        <v>1182</v>
      </c>
      <c r="H244" s="1329" t="s">
        <v>3942</v>
      </c>
      <c r="I244" s="666"/>
      <c r="J244" s="666"/>
      <c r="K244" s="666"/>
      <c r="L244" s="653" t="str">
        <f t="shared" ref="L244:L307" si="176">TEXT(B244,0)</f>
        <v>6132</v>
      </c>
      <c r="M244" s="654" t="str">
        <f t="shared" ref="M244:M307" si="177">+A244</f>
        <v>RRQ RAMQ AC</v>
      </c>
      <c r="N244" s="655">
        <f>+IF(OR($Q244=Parametres!$G$2,$Q244=Parametres!$G$3),I244,C244)</f>
        <v>17127.45</v>
      </c>
      <c r="O244" s="655">
        <f>+IF(OR($Q244=Parametres!$G$2,$Q244=Parametres!$G$3),J244,D244)</f>
        <v>9382.76</v>
      </c>
      <c r="P244" s="655">
        <f>+IF(OR($Q244=Parametres!$G$2,$Q244=Parametres!$G$3),K244,E244)</f>
        <v>26510.21</v>
      </c>
      <c r="Q244" s="654" t="str">
        <f t="shared" ref="Q244:Q307" si="178">+F244</f>
        <v>7-Dépenses</v>
      </c>
      <c r="R244" s="653" t="str">
        <f t="shared" ref="R244:R307" si="179">+G244</f>
        <v>6132</v>
      </c>
      <c r="S244" s="654" t="str">
        <f t="shared" ref="S244:S307" si="180">+H244</f>
        <v>_</v>
      </c>
      <c r="T244" s="671" t="str">
        <f>+VLOOKUP($L244,Data_Validation!$A:$D,1,0)</f>
        <v>6132</v>
      </c>
      <c r="U244" s="656" t="str">
        <f>+VLOOKUP($L244,Data_Validation!$A:$D,3,0)</f>
        <v>Véhicules neufs</v>
      </c>
      <c r="V244" s="656" t="str">
        <f>+VLOOKUP($L244,Data_Validation!$A:$D,4,0)</f>
        <v>Déduction à la source</v>
      </c>
      <c r="W244" s="656" t="str">
        <f>+VLOOKUP($L244,Data_Validation!$A:$E,5,0)</f>
        <v>$</v>
      </c>
      <c r="X244" s="656">
        <f>+VLOOKUP($L244,Data_Validation!$A:$F,6,0)</f>
        <v>0</v>
      </c>
    </row>
    <row r="245" spans="1:24" ht="15" customHeight="1">
      <c r="A245" s="1329" t="s">
        <v>1183</v>
      </c>
      <c r="B245" s="1329" t="s">
        <v>1184</v>
      </c>
      <c r="C245" s="1331">
        <v>2235.7600000000002</v>
      </c>
      <c r="D245" s="1331">
        <v>2128.46</v>
      </c>
      <c r="E245" s="1331">
        <v>4364.22</v>
      </c>
      <c r="F245" s="1329" t="s">
        <v>1154</v>
      </c>
      <c r="G245" s="1329" t="s">
        <v>1184</v>
      </c>
      <c r="H245" s="1329" t="s">
        <v>3942</v>
      </c>
      <c r="I245" s="667"/>
      <c r="J245" s="667"/>
      <c r="K245" s="667"/>
      <c r="L245" s="653" t="str">
        <f t="shared" si="176"/>
        <v>6133</v>
      </c>
      <c r="M245" s="654" t="str">
        <f t="shared" si="177"/>
        <v>FOND PENSION - NEUF</v>
      </c>
      <c r="N245" s="655">
        <f>+IF(OR($Q245=Parametres!$G$2,$Q245=Parametres!$G$3),I245,C245)</f>
        <v>2235.7600000000002</v>
      </c>
      <c r="O245" s="655">
        <f>+IF(OR($Q245=Parametres!$G$2,$Q245=Parametres!$G$3),J245,D245)</f>
        <v>2128.46</v>
      </c>
      <c r="P245" s="655">
        <f>+IF(OR($Q245=Parametres!$G$2,$Q245=Parametres!$G$3),K245,E245)</f>
        <v>4364.22</v>
      </c>
      <c r="Q245" s="654" t="str">
        <f t="shared" si="178"/>
        <v>7-Dépenses</v>
      </c>
      <c r="R245" s="653" t="str">
        <f t="shared" si="179"/>
        <v>6133</v>
      </c>
      <c r="S245" s="654" t="str">
        <f t="shared" si="180"/>
        <v>_</v>
      </c>
      <c r="T245" s="656" t="str">
        <f>+VLOOKUP($L245,Data_Validation!$A:$D,1,0)</f>
        <v>6133</v>
      </c>
      <c r="U245" s="656" t="str">
        <f>+VLOOKUP($L245,Data_Validation!$A:$D,3,0)</f>
        <v>Véhicules neufs</v>
      </c>
      <c r="V245" s="656" t="str">
        <f>+VLOOKUP($L245,Data_Validation!$A:$D,4,0)</f>
        <v>Bénéfices marginaux</v>
      </c>
      <c r="W245" s="656" t="str">
        <f>+VLOOKUP($L245,Data_Validation!$A:$E,5,0)</f>
        <v>$</v>
      </c>
      <c r="X245" s="656">
        <f>+VLOOKUP($L245,Data_Validation!$A:$F,6,0)</f>
        <v>0</v>
      </c>
    </row>
    <row r="246" spans="1:24" ht="15" customHeight="1">
      <c r="A246" s="1329" t="s">
        <v>1185</v>
      </c>
      <c r="B246" s="1329" t="s">
        <v>1186</v>
      </c>
      <c r="C246" s="1331">
        <v>3239.02</v>
      </c>
      <c r="D246" s="1331">
        <v>3137.17</v>
      </c>
      <c r="E246" s="1331">
        <v>6376.19</v>
      </c>
      <c r="F246" s="1329" t="s">
        <v>1154</v>
      </c>
      <c r="G246" s="1329" t="s">
        <v>1186</v>
      </c>
      <c r="H246" s="1329" t="s">
        <v>3942</v>
      </c>
      <c r="I246" s="666"/>
      <c r="J246" s="666"/>
      <c r="K246" s="666"/>
      <c r="L246" s="653" t="str">
        <f t="shared" si="176"/>
        <v>6139</v>
      </c>
      <c r="M246" s="654" t="str">
        <f t="shared" si="177"/>
        <v>ASSURANCE GROUPS</v>
      </c>
      <c r="N246" s="655">
        <f>+IF(OR($Q246=Parametres!$G$2,$Q246=Parametres!$G$3),I246,C246)</f>
        <v>3239.02</v>
      </c>
      <c r="O246" s="655">
        <f>+IF(OR($Q246=Parametres!$G$2,$Q246=Parametres!$G$3),J246,D246)</f>
        <v>3137.17</v>
      </c>
      <c r="P246" s="655">
        <f>+IF(OR($Q246=Parametres!$G$2,$Q246=Parametres!$G$3),K246,E246)</f>
        <v>6376.19</v>
      </c>
      <c r="Q246" s="654" t="str">
        <f t="shared" si="178"/>
        <v>7-Dépenses</v>
      </c>
      <c r="R246" s="653" t="str">
        <f t="shared" si="179"/>
        <v>6139</v>
      </c>
      <c r="S246" s="654" t="str">
        <f t="shared" si="180"/>
        <v>_</v>
      </c>
      <c r="T246" s="656" t="str">
        <f>+VLOOKUP($L246,Data_Validation!$A:$D,1,0)</f>
        <v>6139</v>
      </c>
      <c r="U246" s="656" t="str">
        <f>+VLOOKUP($L246,Data_Validation!$A:$D,3,0)</f>
        <v>Véhicules neufs</v>
      </c>
      <c r="V246" s="656" t="str">
        <f>+VLOOKUP($L246,Data_Validation!$A:$D,4,0)</f>
        <v>Bénéfices marginaux</v>
      </c>
      <c r="W246" s="656" t="str">
        <f>+VLOOKUP($L246,Data_Validation!$A:$E,5,0)</f>
        <v>$</v>
      </c>
      <c r="X246" s="656">
        <f>+VLOOKUP($L246,Data_Validation!$A:$F,6,0)</f>
        <v>0</v>
      </c>
    </row>
    <row r="247" spans="1:24" ht="15.75" customHeight="1">
      <c r="A247" s="1329" t="s">
        <v>1191</v>
      </c>
      <c r="B247" s="1329" t="s">
        <v>1192</v>
      </c>
      <c r="C247" s="1331">
        <v>7602.08</v>
      </c>
      <c r="D247" s="1331">
        <v>2279.71</v>
      </c>
      <c r="E247" s="1331">
        <v>9881.7900000000009</v>
      </c>
      <c r="F247" s="1329" t="s">
        <v>1154</v>
      </c>
      <c r="G247" s="1329" t="s">
        <v>1192</v>
      </c>
      <c r="H247" s="1329" t="s">
        <v>3942</v>
      </c>
      <c r="I247" s="667"/>
      <c r="J247" s="667"/>
      <c r="K247" s="667"/>
      <c r="L247" s="653" t="str">
        <f t="shared" si="176"/>
        <v>6144</v>
      </c>
      <c r="M247" s="654" t="str">
        <f t="shared" si="177"/>
        <v>FORMATION</v>
      </c>
      <c r="N247" s="655">
        <f>+IF(OR($Q247=Parametres!$G$2,$Q247=Parametres!$G$3),I247,C247)</f>
        <v>7602.08</v>
      </c>
      <c r="O247" s="655">
        <f>+IF(OR($Q247=Parametres!$G$2,$Q247=Parametres!$G$3),J247,D247)</f>
        <v>2279.71</v>
      </c>
      <c r="P247" s="655">
        <f>+IF(OR($Q247=Parametres!$G$2,$Q247=Parametres!$G$3),K247,E247)</f>
        <v>9881.7900000000009</v>
      </c>
      <c r="Q247" s="654" t="str">
        <f t="shared" si="178"/>
        <v>7-Dépenses</v>
      </c>
      <c r="R247" s="653" t="str">
        <f t="shared" si="179"/>
        <v>6144</v>
      </c>
      <c r="S247" s="654" t="str">
        <f t="shared" si="180"/>
        <v>_</v>
      </c>
      <c r="T247" s="656" t="str">
        <f>+VLOOKUP($L247,Data_Validation!$A:$D,1,0)</f>
        <v>6144</v>
      </c>
      <c r="U247" s="656" t="str">
        <f>+VLOOKUP($L247,Data_Validation!$A:$D,3,0)</f>
        <v>Véhicules neufs</v>
      </c>
      <c r="V247" s="656" t="str">
        <f>+VLOOKUP($L247,Data_Validation!$A:$D,4,0)</f>
        <v>Formation</v>
      </c>
      <c r="W247" s="656" t="str">
        <f>+VLOOKUP($L247,Data_Validation!$A:$E,5,0)</f>
        <v>$</v>
      </c>
      <c r="X247" s="656">
        <f>+VLOOKUP($L247,Data_Validation!$A:$F,6,0)</f>
        <v>0</v>
      </c>
    </row>
    <row r="248" spans="1:24" ht="15" customHeight="1">
      <c r="A248" s="1329" t="s">
        <v>1193</v>
      </c>
      <c r="B248" s="1329" t="s">
        <v>1194</v>
      </c>
      <c r="C248" s="1331">
        <v>6728.34</v>
      </c>
      <c r="D248" s="1331">
        <v>8389.6200000000008</v>
      </c>
      <c r="E248" s="1331">
        <v>15117.96</v>
      </c>
      <c r="F248" s="1329" t="s">
        <v>1154</v>
      </c>
      <c r="G248" s="1329" t="s">
        <v>1194</v>
      </c>
      <c r="H248" s="1329" t="s">
        <v>3942</v>
      </c>
      <c r="I248" s="666"/>
      <c r="J248" s="666"/>
      <c r="K248" s="666"/>
      <c r="L248" s="653" t="str">
        <f t="shared" si="176"/>
        <v>6145</v>
      </c>
      <c r="M248" s="654" t="str">
        <f t="shared" si="177"/>
        <v>VEHICULE DE COMPAGNIE - DEPENS</v>
      </c>
      <c r="N248" s="655">
        <f>+IF(OR($Q248=Parametres!$G$2,$Q248=Parametres!$G$3),I248,C248)</f>
        <v>6728.34</v>
      </c>
      <c r="O248" s="655">
        <f>+IF(OR($Q248=Parametres!$G$2,$Q248=Parametres!$G$3),J248,D248)</f>
        <v>8389.6200000000008</v>
      </c>
      <c r="P248" s="655">
        <f>+IF(OR($Q248=Parametres!$G$2,$Q248=Parametres!$G$3),K248,E248)</f>
        <v>15117.96</v>
      </c>
      <c r="Q248" s="654" t="str">
        <f t="shared" si="178"/>
        <v>7-Dépenses</v>
      </c>
      <c r="R248" s="653" t="str">
        <f t="shared" si="179"/>
        <v>6145</v>
      </c>
      <c r="S248" s="654" t="str">
        <f t="shared" si="180"/>
        <v>_</v>
      </c>
      <c r="T248" s="656" t="str">
        <f>+VLOOKUP($L248,Data_Validation!$A:$D,1,0)</f>
        <v>6145</v>
      </c>
      <c r="U248" s="656" t="str">
        <f>+VLOOKUP($L248,Data_Validation!$A:$D,3,0)</f>
        <v>Véhicules neufs</v>
      </c>
      <c r="V248" s="656" t="str">
        <f>+VLOOKUP($L248,Data_Validation!$A:$D,4,0)</f>
        <v>Frais véhicules de cie</v>
      </c>
      <c r="W248" s="656" t="str">
        <f>+VLOOKUP($L248,Data_Validation!$A:$E,5,0)</f>
        <v>$</v>
      </c>
      <c r="X248" s="656">
        <f>+VLOOKUP($L248,Data_Validation!$A:$F,6,0)</f>
        <v>0</v>
      </c>
    </row>
    <row r="249" spans="1:24" ht="15" customHeight="1">
      <c r="A249" s="1329" t="s">
        <v>1195</v>
      </c>
      <c r="B249" s="1329" t="s">
        <v>1196</v>
      </c>
      <c r="C249" s="1331">
        <v>70.16</v>
      </c>
      <c r="D249" s="1331">
        <v>432.06</v>
      </c>
      <c r="E249" s="1331">
        <v>502.22</v>
      </c>
      <c r="F249" s="1329" t="s">
        <v>1154</v>
      </c>
      <c r="G249" s="1329" t="s">
        <v>1196</v>
      </c>
      <c r="H249" s="1329" t="s">
        <v>3942</v>
      </c>
      <c r="I249" s="667"/>
      <c r="J249" s="667"/>
      <c r="K249" s="667"/>
      <c r="L249" s="653" t="str">
        <f t="shared" si="176"/>
        <v>6147</v>
      </c>
      <c r="M249" s="654" t="str">
        <f t="shared" si="177"/>
        <v>FRET/EXPRESS/TRANS. PAR CAMION</v>
      </c>
      <c r="N249" s="655">
        <f>+IF(OR($Q249=Parametres!$G$2,$Q249=Parametres!$G$3),I249,C249)</f>
        <v>70.16</v>
      </c>
      <c r="O249" s="655">
        <f>+IF(OR($Q249=Parametres!$G$2,$Q249=Parametres!$G$3),J249,D249)</f>
        <v>432.06</v>
      </c>
      <c r="P249" s="655">
        <f>+IF(OR($Q249=Parametres!$G$2,$Q249=Parametres!$G$3),K249,E249)</f>
        <v>502.22</v>
      </c>
      <c r="Q249" s="654" t="str">
        <f t="shared" si="178"/>
        <v>7-Dépenses</v>
      </c>
      <c r="R249" s="653" t="str">
        <f t="shared" si="179"/>
        <v>6147</v>
      </c>
      <c r="S249" s="654" t="str">
        <f t="shared" si="180"/>
        <v>_</v>
      </c>
      <c r="T249" s="656" t="str">
        <f>+VLOOKUP($L249,Data_Validation!$A:$D,1,0)</f>
        <v>6147</v>
      </c>
      <c r="U249" s="656" t="str">
        <f>+VLOOKUP($L249,Data_Validation!$A:$D,3,0)</f>
        <v>Véhicules neufs</v>
      </c>
      <c r="V249" s="656" t="str">
        <f>+VLOOKUP($L249,Data_Validation!$A:$D,4,0)</f>
        <v>Frais postaux</v>
      </c>
      <c r="W249" s="656" t="str">
        <f>+VLOOKUP($L249,Data_Validation!$A:$E,5,0)</f>
        <v>$</v>
      </c>
      <c r="X249" s="656">
        <f>+VLOOKUP($L249,Data_Validation!$A:$F,6,0)</f>
        <v>0</v>
      </c>
    </row>
    <row r="250" spans="1:24" ht="15" customHeight="1">
      <c r="A250" s="1329" t="s">
        <v>1197</v>
      </c>
      <c r="B250" s="1329" t="s">
        <v>1198</v>
      </c>
      <c r="C250" s="1331">
        <v>8637.4500000000007</v>
      </c>
      <c r="D250" s="1331">
        <v>6876.27</v>
      </c>
      <c r="E250" s="1331">
        <v>15513.72</v>
      </c>
      <c r="F250" s="1329" t="s">
        <v>1154</v>
      </c>
      <c r="G250" s="1329" t="s">
        <v>1198</v>
      </c>
      <c r="H250" s="1329" t="s">
        <v>3942</v>
      </c>
      <c r="I250" s="666"/>
      <c r="J250" s="666"/>
      <c r="K250" s="666"/>
      <c r="L250" s="653" t="str">
        <f t="shared" si="176"/>
        <v>6151</v>
      </c>
      <c r="M250" s="654" t="str">
        <f t="shared" si="177"/>
        <v>DEP. DU TRAITEMENT DES DONNEES</v>
      </c>
      <c r="N250" s="655">
        <f>+IF(OR($Q250=Parametres!$G$2,$Q250=Parametres!$G$3),I250,C250)</f>
        <v>8637.4500000000007</v>
      </c>
      <c r="O250" s="655">
        <f>+IF(OR($Q250=Parametres!$G$2,$Q250=Parametres!$G$3),J250,D250)</f>
        <v>6876.27</v>
      </c>
      <c r="P250" s="655">
        <f>+IF(OR($Q250=Parametres!$G$2,$Q250=Parametres!$G$3),K250,E250)</f>
        <v>15513.72</v>
      </c>
      <c r="Q250" s="654" t="str">
        <f t="shared" si="178"/>
        <v>7-Dépenses</v>
      </c>
      <c r="R250" s="653" t="str">
        <f t="shared" si="179"/>
        <v>6151</v>
      </c>
      <c r="S250" s="654" t="str">
        <f t="shared" si="180"/>
        <v>_</v>
      </c>
      <c r="T250" s="656" t="str">
        <f>+VLOOKUP($L250,Data_Validation!$A:$D,1,0)</f>
        <v>6151</v>
      </c>
      <c r="U250" s="656" t="str">
        <f>+VLOOKUP($L250,Data_Validation!$A:$D,3,0)</f>
        <v>Véhicules neufs</v>
      </c>
      <c r="V250" s="656" t="str">
        <f>+VLOOKUP($L250,Data_Validation!$A:$D,4,0)</f>
        <v>Informatique</v>
      </c>
      <c r="W250" s="656" t="str">
        <f>+VLOOKUP($L250,Data_Validation!$A:$E,5,0)</f>
        <v>$</v>
      </c>
      <c r="X250" s="656">
        <f>+VLOOKUP($L250,Data_Validation!$A:$F,6,0)</f>
        <v>0</v>
      </c>
    </row>
    <row r="251" spans="1:24" ht="15" customHeight="1">
      <c r="A251" s="1329" t="s">
        <v>1199</v>
      </c>
      <c r="B251" s="1329" t="s">
        <v>1200</v>
      </c>
      <c r="C251" s="1331">
        <v>39.409999999999997</v>
      </c>
      <c r="D251" s="1331">
        <v>544.66999999999996</v>
      </c>
      <c r="E251" s="1331">
        <v>584.08000000000004</v>
      </c>
      <c r="F251" s="1329" t="s">
        <v>1154</v>
      </c>
      <c r="G251" s="1329" t="s">
        <v>1200</v>
      </c>
      <c r="H251" s="1329" t="s">
        <v>3942</v>
      </c>
      <c r="I251" s="652"/>
      <c r="J251" s="652"/>
      <c r="K251" s="652"/>
      <c r="L251" s="653" t="str">
        <f t="shared" si="176"/>
        <v>6152</v>
      </c>
      <c r="M251" s="654" t="str">
        <f t="shared" si="177"/>
        <v>PAPETERIE</v>
      </c>
      <c r="N251" s="655">
        <f>+IF(OR($Q251=Parametres!$G$2,$Q251=Parametres!$G$3),I251,C251)</f>
        <v>39.409999999999997</v>
      </c>
      <c r="O251" s="655">
        <f>+IF(OR($Q251=Parametres!$G$2,$Q251=Parametres!$G$3),J251,D251)</f>
        <v>544.66999999999996</v>
      </c>
      <c r="P251" s="655">
        <f>+IF(OR($Q251=Parametres!$G$2,$Q251=Parametres!$G$3),K251,E251)</f>
        <v>584.08000000000004</v>
      </c>
      <c r="Q251" s="654" t="str">
        <f t="shared" si="178"/>
        <v>7-Dépenses</v>
      </c>
      <c r="R251" s="653" t="str">
        <f t="shared" si="179"/>
        <v>6152</v>
      </c>
      <c r="S251" s="654" t="str">
        <f t="shared" si="180"/>
        <v>_</v>
      </c>
      <c r="T251" s="656" t="str">
        <f>+VLOOKUP($L251,Data_Validation!$A:$D,1,0)</f>
        <v>6152</v>
      </c>
      <c r="U251" s="656" t="str">
        <f>+VLOOKUP($L251,Data_Validation!$A:$D,3,0)</f>
        <v>Véhicules neufs</v>
      </c>
      <c r="V251" s="656" t="str">
        <f>+VLOOKUP($L251,Data_Validation!$A:$D,4,0)</f>
        <v>Papeterie</v>
      </c>
      <c r="W251" s="656" t="str">
        <f>+VLOOKUP($L251,Data_Validation!$A:$E,5,0)</f>
        <v>$</v>
      </c>
      <c r="X251" s="656">
        <f>+VLOOKUP($L251,Data_Validation!$A:$F,6,0)</f>
        <v>0</v>
      </c>
    </row>
    <row r="252" spans="1:24" ht="15.75" customHeight="1">
      <c r="A252" s="1329" t="s">
        <v>1201</v>
      </c>
      <c r="B252" s="1329" t="s">
        <v>1202</v>
      </c>
      <c r="C252" s="1331">
        <v>620.69000000000005</v>
      </c>
      <c r="D252" s="1331">
        <v>289.7</v>
      </c>
      <c r="E252" s="1331">
        <v>910.39</v>
      </c>
      <c r="F252" s="1329" t="s">
        <v>1154</v>
      </c>
      <c r="G252" s="1329" t="s">
        <v>1202</v>
      </c>
      <c r="H252" s="1329" t="s">
        <v>3942</v>
      </c>
      <c r="I252" s="670"/>
      <c r="J252" s="651"/>
      <c r="K252" s="670"/>
      <c r="L252" s="653" t="str">
        <f t="shared" si="176"/>
        <v>6153</v>
      </c>
      <c r="M252" s="654" t="str">
        <f t="shared" si="177"/>
        <v>TELEPHONE ET TELEX</v>
      </c>
      <c r="N252" s="655">
        <f>+IF(OR($Q252=Parametres!$G$2,$Q252=Parametres!$G$3),I252,C252)</f>
        <v>620.69000000000005</v>
      </c>
      <c r="O252" s="655">
        <f>+IF(OR($Q252=Parametres!$G$2,$Q252=Parametres!$G$3),J252,D252)</f>
        <v>289.7</v>
      </c>
      <c r="P252" s="655">
        <f>+IF(OR($Q252=Parametres!$G$2,$Q252=Parametres!$G$3),K252,E252)</f>
        <v>910.39</v>
      </c>
      <c r="Q252" s="654" t="str">
        <f t="shared" si="178"/>
        <v>7-Dépenses</v>
      </c>
      <c r="R252" s="653" t="str">
        <f t="shared" si="179"/>
        <v>6153</v>
      </c>
      <c r="S252" s="654" t="str">
        <f t="shared" si="180"/>
        <v>_</v>
      </c>
      <c r="T252" s="656" t="str">
        <f>+VLOOKUP($L252,Data_Validation!$A:$D,1,0)</f>
        <v>6153</v>
      </c>
      <c r="U252" s="656" t="str">
        <f>+VLOOKUP($L252,Data_Validation!$A:$D,3,0)</f>
        <v>Véhicules neufs</v>
      </c>
      <c r="V252" s="656" t="str">
        <f>+VLOOKUP($L252,Data_Validation!$A:$D,4,0)</f>
        <v>Téléphone</v>
      </c>
      <c r="W252" s="656" t="str">
        <f>+VLOOKUP($L252,Data_Validation!$A:$E,5,0)</f>
        <v>$</v>
      </c>
      <c r="X252" s="656">
        <f>+VLOOKUP($L252,Data_Validation!$A:$F,6,0)</f>
        <v>0</v>
      </c>
    </row>
    <row r="253" spans="1:24" ht="15" customHeight="1">
      <c r="A253" s="1329" t="s">
        <v>1203</v>
      </c>
      <c r="B253" s="1329" t="s">
        <v>1204</v>
      </c>
      <c r="C253" s="1331">
        <v>515.58000000000004</v>
      </c>
      <c r="D253" s="1331">
        <v>35.01</v>
      </c>
      <c r="E253" s="1331">
        <v>550.59</v>
      </c>
      <c r="F253" s="1329" t="s">
        <v>1154</v>
      </c>
      <c r="G253" s="1329" t="s">
        <v>1204</v>
      </c>
      <c r="H253" s="1329" t="s">
        <v>3942</v>
      </c>
      <c r="I253" s="652"/>
      <c r="J253" s="652"/>
      <c r="K253" s="652"/>
      <c r="L253" s="653" t="str">
        <f t="shared" si="176"/>
        <v>6155</v>
      </c>
      <c r="M253" s="654" t="str">
        <f t="shared" si="177"/>
        <v>DEPENSES DIVERS</v>
      </c>
      <c r="N253" s="655">
        <f>+IF(OR($Q253=Parametres!$G$2,$Q253=Parametres!$G$3),I253,C253)</f>
        <v>515.58000000000004</v>
      </c>
      <c r="O253" s="655">
        <f>+IF(OR($Q253=Parametres!$G$2,$Q253=Parametres!$G$3),J253,D253)</f>
        <v>35.01</v>
      </c>
      <c r="P253" s="655">
        <f>+IF(OR($Q253=Parametres!$G$2,$Q253=Parametres!$G$3),K253,E253)</f>
        <v>550.59</v>
      </c>
      <c r="Q253" s="654" t="str">
        <f t="shared" si="178"/>
        <v>7-Dépenses</v>
      </c>
      <c r="R253" s="653" t="str">
        <f t="shared" si="179"/>
        <v>6155</v>
      </c>
      <c r="S253" s="654" t="str">
        <f t="shared" si="180"/>
        <v>_</v>
      </c>
      <c r="T253" s="656" t="str">
        <f>+VLOOKUP($L253,Data_Validation!$A:$D,1,0)</f>
        <v>6155</v>
      </c>
      <c r="U253" s="656" t="str">
        <f>+VLOOKUP($L253,Data_Validation!$A:$D,3,0)</f>
        <v>Véhicules neufs</v>
      </c>
      <c r="V253" s="656" t="str">
        <f>+VLOOKUP($L253,Data_Validation!$A:$D,4,0)</f>
        <v>Divers</v>
      </c>
      <c r="W253" s="656" t="str">
        <f>+VLOOKUP($L253,Data_Validation!$A:$E,5,0)</f>
        <v>$</v>
      </c>
      <c r="X253" s="656">
        <f>+VLOOKUP($L253,Data_Validation!$A:$F,6,0)</f>
        <v>0</v>
      </c>
    </row>
    <row r="254" spans="1:24" ht="15" customHeight="1">
      <c r="A254" s="1329" t="s">
        <v>1205</v>
      </c>
      <c r="B254" s="1329" t="s">
        <v>1206</v>
      </c>
      <c r="C254" s="1331">
        <v>708.8</v>
      </c>
      <c r="D254" s="1331">
        <v>612.99</v>
      </c>
      <c r="E254" s="1331">
        <v>1321.79</v>
      </c>
      <c r="F254" s="1329" t="s">
        <v>1154</v>
      </c>
      <c r="G254" s="1329" t="s">
        <v>1206</v>
      </c>
      <c r="H254" s="1329" t="s">
        <v>3942</v>
      </c>
      <c r="I254" s="670"/>
      <c r="J254" s="651"/>
      <c r="K254" s="670"/>
      <c r="L254" s="653" t="str">
        <f t="shared" si="176"/>
        <v>6156</v>
      </c>
      <c r="M254" s="654" t="str">
        <f t="shared" si="177"/>
        <v>FRAIS REPRESENTATION - NEUF</v>
      </c>
      <c r="N254" s="655">
        <f>+IF(OR($Q254=Parametres!$G$2,$Q254=Parametres!$G$3),I254,C254)</f>
        <v>708.8</v>
      </c>
      <c r="O254" s="655">
        <f>+IF(OR($Q254=Parametres!$G$2,$Q254=Parametres!$G$3),J254,D254)</f>
        <v>612.99</v>
      </c>
      <c r="P254" s="655">
        <f>+IF(OR($Q254=Parametres!$G$2,$Q254=Parametres!$G$3),K254,E254)</f>
        <v>1321.79</v>
      </c>
      <c r="Q254" s="654" t="str">
        <f t="shared" si="178"/>
        <v>7-Dépenses</v>
      </c>
      <c r="R254" s="653" t="str">
        <f t="shared" si="179"/>
        <v>6156</v>
      </c>
      <c r="S254" s="654" t="str">
        <f t="shared" si="180"/>
        <v>_</v>
      </c>
      <c r="T254" s="656" t="str">
        <f>+VLOOKUP($L254,Data_Validation!$A:$D,1,0)</f>
        <v>6156</v>
      </c>
      <c r="U254" s="656" t="str">
        <f>+VLOOKUP($L254,Data_Validation!$A:$D,3,0)</f>
        <v>Véhicules neufs</v>
      </c>
      <c r="V254" s="656" t="str">
        <f>+VLOOKUP($L254,Data_Validation!$A:$D,4,0)</f>
        <v>Frais de déplacement</v>
      </c>
      <c r="W254" s="656" t="str">
        <f>+VLOOKUP($L254,Data_Validation!$A:$E,5,0)</f>
        <v>$</v>
      </c>
      <c r="X254" s="656">
        <f>+VLOOKUP($L254,Data_Validation!$A:$F,6,0)</f>
        <v>0</v>
      </c>
    </row>
    <row r="255" spans="1:24" ht="15" customHeight="1">
      <c r="A255" s="1329" t="s">
        <v>1207</v>
      </c>
      <c r="B255" s="1329" t="s">
        <v>3387</v>
      </c>
      <c r="C255" s="1331">
        <v>3303.39</v>
      </c>
      <c r="D255" s="1331">
        <v>6067.89</v>
      </c>
      <c r="E255" s="1331">
        <v>9371.2800000000007</v>
      </c>
      <c r="F255" s="1329" t="s">
        <v>1154</v>
      </c>
      <c r="G255" s="1329" t="s">
        <v>1208</v>
      </c>
      <c r="H255" s="1329" t="s">
        <v>3942</v>
      </c>
      <c r="I255" s="652"/>
      <c r="J255" s="652"/>
      <c r="K255" s="652"/>
      <c r="L255" s="653" t="str">
        <f t="shared" si="176"/>
        <v>6157</v>
      </c>
      <c r="M255" s="654" t="str">
        <f t="shared" si="177"/>
        <v>FRAIS BANCAIRES - NEUF</v>
      </c>
      <c r="N255" s="655">
        <f>+IF(OR($Q255=Parametres!$G$2,$Q255=Parametres!$G$3),I255,C255)</f>
        <v>3303.39</v>
      </c>
      <c r="O255" s="655">
        <f>+IF(OR($Q255=Parametres!$G$2,$Q255=Parametres!$G$3),J255,D255)</f>
        <v>6067.89</v>
      </c>
      <c r="P255" s="655">
        <f>+IF(OR($Q255=Parametres!$G$2,$Q255=Parametres!$G$3),K255,E255)</f>
        <v>9371.2800000000007</v>
      </c>
      <c r="Q255" s="654" t="str">
        <f t="shared" si="178"/>
        <v>7-Dépenses</v>
      </c>
      <c r="R255" s="653" t="str">
        <f t="shared" si="179"/>
        <v>615</v>
      </c>
      <c r="S255" s="654" t="str">
        <f t="shared" si="180"/>
        <v>_</v>
      </c>
      <c r="T255" s="656" t="str">
        <f>+VLOOKUP($L255,Data_Validation!$A:$D,1,0)</f>
        <v>6157</v>
      </c>
      <c r="U255" s="656" t="str">
        <f>+VLOOKUP($L255,Data_Validation!$A:$D,3,0)</f>
        <v>Véhicules neufs</v>
      </c>
      <c r="V255" s="656" t="str">
        <f>+VLOOKUP($L255,Data_Validation!$A:$D,4,0)</f>
        <v>Frais bancaires</v>
      </c>
      <c r="W255" s="656" t="str">
        <f>+VLOOKUP($L255,Data_Validation!$A:$E,5,0)</f>
        <v>$</v>
      </c>
      <c r="X255" s="656">
        <f>+VLOOKUP($L255,Data_Validation!$A:$F,6,0)</f>
        <v>0</v>
      </c>
    </row>
    <row r="256" spans="1:24" ht="15.75" customHeight="1">
      <c r="A256" s="1329" t="s">
        <v>1209</v>
      </c>
      <c r="B256" s="1329" t="s">
        <v>1210</v>
      </c>
      <c r="C256" s="1331">
        <v>9587.07</v>
      </c>
      <c r="D256" s="1331">
        <v>3237.92</v>
      </c>
      <c r="E256" s="1331">
        <v>12824.99</v>
      </c>
      <c r="F256" s="1329" t="s">
        <v>1154</v>
      </c>
      <c r="G256" s="1329" t="s">
        <v>1210</v>
      </c>
      <c r="H256" s="1329" t="s">
        <v>3942</v>
      </c>
      <c r="I256" s="670"/>
      <c r="J256" s="651"/>
      <c r="K256" s="670"/>
      <c r="L256" s="653" t="str">
        <f t="shared" si="176"/>
        <v>6159</v>
      </c>
      <c r="M256" s="654" t="str">
        <f t="shared" si="177"/>
        <v>SERVICE EXTERIEUR</v>
      </c>
      <c r="N256" s="655">
        <f>+IF(OR($Q256=Parametres!$G$2,$Q256=Parametres!$G$3),I256,C256)</f>
        <v>9587.07</v>
      </c>
      <c r="O256" s="655">
        <f>+IF(OR($Q256=Parametres!$G$2,$Q256=Parametres!$G$3),J256,D256)</f>
        <v>3237.92</v>
      </c>
      <c r="P256" s="655">
        <f>+IF(OR($Q256=Parametres!$G$2,$Q256=Parametres!$G$3),K256,E256)</f>
        <v>12824.99</v>
      </c>
      <c r="Q256" s="654" t="str">
        <f t="shared" si="178"/>
        <v>7-Dépenses</v>
      </c>
      <c r="R256" s="653" t="str">
        <f t="shared" si="179"/>
        <v>6159</v>
      </c>
      <c r="S256" s="654" t="str">
        <f t="shared" si="180"/>
        <v>_</v>
      </c>
      <c r="T256" s="656" t="str">
        <f>+VLOOKUP($L256,Data_Validation!$A:$D,1,0)</f>
        <v>6159</v>
      </c>
      <c r="U256" s="656" t="str">
        <f>+VLOOKUP($L256,Data_Validation!$A:$D,3,0)</f>
        <v>Véhicules neufs</v>
      </c>
      <c r="V256" s="656" t="str">
        <f>+VLOOKUP($L256,Data_Validation!$A:$D,4,0)</f>
        <v>Services extérieurs</v>
      </c>
      <c r="W256" s="656" t="str">
        <f>+VLOOKUP($L256,Data_Validation!$A:$E,5,0)</f>
        <v>$</v>
      </c>
      <c r="X256" s="656">
        <f>+VLOOKUP($L256,Data_Validation!$A:$F,6,0)</f>
        <v>0</v>
      </c>
    </row>
    <row r="257" spans="1:24" ht="15" customHeight="1">
      <c r="A257" s="1329" t="s">
        <v>1211</v>
      </c>
      <c r="B257" s="1329" t="s">
        <v>1212</v>
      </c>
      <c r="C257" s="1331">
        <v>3045.44</v>
      </c>
      <c r="D257" s="1331">
        <v>3045.44</v>
      </c>
      <c r="E257" s="1331">
        <v>6090.88</v>
      </c>
      <c r="F257" s="1329" t="s">
        <v>1154</v>
      </c>
      <c r="G257" s="1329" t="s">
        <v>1212</v>
      </c>
      <c r="H257" s="1329" t="s">
        <v>3942</v>
      </c>
      <c r="I257" s="670"/>
      <c r="J257" s="651"/>
      <c r="K257" s="670"/>
      <c r="L257" s="653" t="str">
        <f t="shared" si="176"/>
        <v>6161</v>
      </c>
      <c r="M257" s="654" t="str">
        <f t="shared" si="177"/>
        <v>DEPRECIATION EQUIP. &amp; FIXTURES</v>
      </c>
      <c r="N257" s="655">
        <f>+IF(OR($Q257=Parametres!$G$2,$Q257=Parametres!$G$3),I257,C257)</f>
        <v>3045.44</v>
      </c>
      <c r="O257" s="655">
        <f>+IF(OR($Q257=Parametres!$G$2,$Q257=Parametres!$G$3),J257,D257)</f>
        <v>3045.44</v>
      </c>
      <c r="P257" s="655">
        <f>+IF(OR($Q257=Parametres!$G$2,$Q257=Parametres!$G$3),K257,E257)</f>
        <v>6090.88</v>
      </c>
      <c r="Q257" s="654" t="str">
        <f t="shared" si="178"/>
        <v>7-Dépenses</v>
      </c>
      <c r="R257" s="653" t="str">
        <f t="shared" si="179"/>
        <v>6161</v>
      </c>
      <c r="S257" s="654" t="str">
        <f t="shared" si="180"/>
        <v>_</v>
      </c>
      <c r="T257" s="656" t="str">
        <f>+VLOOKUP($L257,Data_Validation!$A:$D,1,0)</f>
        <v>6161</v>
      </c>
      <c r="U257" s="656" t="str">
        <f>+VLOOKUP($L257,Data_Validation!$A:$D,3,0)</f>
        <v>Véhicules neufs</v>
      </c>
      <c r="V257" s="656" t="str">
        <f>+VLOOKUP($L257,Data_Validation!$A:$D,4,0)</f>
        <v>Amortissement</v>
      </c>
      <c r="W257" s="656" t="str">
        <f>+VLOOKUP($L257,Data_Validation!$A:$E,5,0)</f>
        <v>$</v>
      </c>
      <c r="X257" s="656">
        <f>+VLOOKUP($L257,Data_Validation!$A:$F,6,0)</f>
        <v>0</v>
      </c>
    </row>
    <row r="258" spans="1:24" ht="15" customHeight="1">
      <c r="A258" s="1329" t="s">
        <v>1213</v>
      </c>
      <c r="B258" s="1329" t="s">
        <v>1214</v>
      </c>
      <c r="C258" s="1331">
        <v>4538.3599999999997</v>
      </c>
      <c r="D258" s="1331">
        <v>2376.0300000000002</v>
      </c>
      <c r="E258" s="1331">
        <v>6914.39</v>
      </c>
      <c r="F258" s="1329" t="s">
        <v>1154</v>
      </c>
      <c r="G258" s="1329" t="s">
        <v>1214</v>
      </c>
      <c r="H258" s="1329" t="s">
        <v>3942</v>
      </c>
      <c r="I258" s="670"/>
      <c r="J258" s="651"/>
      <c r="K258" s="670"/>
      <c r="L258" s="653" t="str">
        <f t="shared" si="176"/>
        <v>6181</v>
      </c>
      <c r="M258" s="654" t="str">
        <f t="shared" si="177"/>
        <v>ELECTRICITE CHAUFFAGE</v>
      </c>
      <c r="N258" s="655">
        <f>+IF(OR($Q258=Parametres!$G$2,$Q258=Parametres!$G$3),I258,C258)</f>
        <v>4538.3599999999997</v>
      </c>
      <c r="O258" s="655">
        <f>+IF(OR($Q258=Parametres!$G$2,$Q258=Parametres!$G$3),J258,D258)</f>
        <v>2376.0300000000002</v>
      </c>
      <c r="P258" s="655">
        <f>+IF(OR($Q258=Parametres!$G$2,$Q258=Parametres!$G$3),K258,E258)</f>
        <v>6914.39</v>
      </c>
      <c r="Q258" s="654" t="str">
        <f t="shared" si="178"/>
        <v>7-Dépenses</v>
      </c>
      <c r="R258" s="653" t="str">
        <f t="shared" si="179"/>
        <v>6181</v>
      </c>
      <c r="S258" s="654" t="str">
        <f t="shared" si="180"/>
        <v>_</v>
      </c>
      <c r="T258" s="656" t="str">
        <f>+VLOOKUP($L258,Data_Validation!$A:$D,1,0)</f>
        <v>6181</v>
      </c>
      <c r="U258" s="656" t="str">
        <f>+VLOOKUP($L258,Data_Validation!$A:$D,3,0)</f>
        <v>Véhicules neufs</v>
      </c>
      <c r="V258" s="656" t="str">
        <f>+VLOOKUP($L258,Data_Validation!$A:$D,4,0)</f>
        <v>Chauffage, éclairage</v>
      </c>
      <c r="W258" s="656" t="str">
        <f>+VLOOKUP($L258,Data_Validation!$A:$E,5,0)</f>
        <v>$</v>
      </c>
      <c r="X258" s="656">
        <f>+VLOOKUP($L258,Data_Validation!$A:$F,6,0)</f>
        <v>0</v>
      </c>
    </row>
    <row r="259" spans="1:24" ht="15" customHeight="1">
      <c r="A259" s="1329" t="s">
        <v>1215</v>
      </c>
      <c r="B259" s="1329" t="s">
        <v>1216</v>
      </c>
      <c r="C259" s="1331">
        <v>14720</v>
      </c>
      <c r="D259" s="1331">
        <v>25440</v>
      </c>
      <c r="E259" s="1331">
        <v>40160</v>
      </c>
      <c r="F259" s="1329" t="s">
        <v>1154</v>
      </c>
      <c r="G259" s="1329" t="s">
        <v>1216</v>
      </c>
      <c r="H259" s="1329" t="s">
        <v>3942</v>
      </c>
      <c r="I259" s="670"/>
      <c r="J259" s="651"/>
      <c r="K259" s="670"/>
      <c r="L259" s="653" t="str">
        <f t="shared" si="176"/>
        <v>6182</v>
      </c>
      <c r="M259" s="654" t="str">
        <f t="shared" si="177"/>
        <v>LOYER NEUFS</v>
      </c>
      <c r="N259" s="655">
        <f>+IF(OR($Q259=Parametres!$G$2,$Q259=Parametres!$G$3),I259,C259)</f>
        <v>14720</v>
      </c>
      <c r="O259" s="659">
        <f>+IF(OR($Q259=Parametres!$G$2,$Q259=Parametres!$G$3),J259,D259)</f>
        <v>25440</v>
      </c>
      <c r="P259" s="655">
        <f>+IF(OR($Q259=Parametres!$G$2,$Q259=Parametres!$G$3),K259,E259)</f>
        <v>40160</v>
      </c>
      <c r="Q259" s="654" t="str">
        <f t="shared" si="178"/>
        <v>7-Dépenses</v>
      </c>
      <c r="R259" s="653" t="str">
        <f t="shared" si="179"/>
        <v>6182</v>
      </c>
      <c r="S259" s="654" t="str">
        <f t="shared" si="180"/>
        <v>_</v>
      </c>
      <c r="T259" s="656" t="str">
        <f>+VLOOKUP($L259,Data_Validation!$A:$D,1,0)</f>
        <v>6182</v>
      </c>
      <c r="U259" s="656" t="str">
        <f>+VLOOKUP($L259,Data_Validation!$A:$D,3,0)</f>
        <v>Véhicules neufs</v>
      </c>
      <c r="V259" s="656" t="str">
        <f>+VLOOKUP($L259,Data_Validation!$A:$D,4,0)</f>
        <v>Loyer</v>
      </c>
      <c r="W259" s="656" t="str">
        <f>+VLOOKUP($L259,Data_Validation!$A:$E,5,0)</f>
        <v>$</v>
      </c>
      <c r="X259" s="656">
        <f>+VLOOKUP($L259,Data_Validation!$A:$F,6,0)</f>
        <v>0</v>
      </c>
    </row>
    <row r="260" spans="1:24" ht="15" customHeight="1">
      <c r="A260" s="1329" t="s">
        <v>1217</v>
      </c>
      <c r="B260" s="1329" t="s">
        <v>1218</v>
      </c>
      <c r="C260" s="1331">
        <v>1390.16</v>
      </c>
      <c r="D260" s="1331">
        <v>1139.2</v>
      </c>
      <c r="E260" s="1331">
        <v>2529.36</v>
      </c>
      <c r="F260" s="1329" t="s">
        <v>1154</v>
      </c>
      <c r="G260" s="1329" t="s">
        <v>1218</v>
      </c>
      <c r="H260" s="1329" t="s">
        <v>3942</v>
      </c>
      <c r="I260" s="670"/>
      <c r="J260" s="651"/>
      <c r="K260" s="670"/>
      <c r="L260" s="653" t="str">
        <f t="shared" si="176"/>
        <v>6186</v>
      </c>
      <c r="M260" s="654" t="str">
        <f t="shared" si="177"/>
        <v>ASSURANCE BATIMENT</v>
      </c>
      <c r="N260" s="655">
        <f>+IF(OR($Q260=Parametres!$G$2,$Q260=Parametres!$G$3),I260,C260)</f>
        <v>1390.16</v>
      </c>
      <c r="O260" s="655">
        <f>+IF(OR($Q260=Parametres!$G$2,$Q260=Parametres!$G$3),J260,D260)</f>
        <v>1139.2</v>
      </c>
      <c r="P260" s="655">
        <f>+IF(OR($Q260=Parametres!$G$2,$Q260=Parametres!$G$3),K260,E260)</f>
        <v>2529.36</v>
      </c>
      <c r="Q260" s="654" t="str">
        <f t="shared" si="178"/>
        <v>7-Dépenses</v>
      </c>
      <c r="R260" s="653" t="str">
        <f t="shared" si="179"/>
        <v>6186</v>
      </c>
      <c r="S260" s="654" t="str">
        <f t="shared" si="180"/>
        <v>_</v>
      </c>
      <c r="T260" s="656" t="str">
        <f>+VLOOKUP($L260,Data_Validation!$A:$D,1,0)</f>
        <v>6186</v>
      </c>
      <c r="U260" s="656" t="str">
        <f>+VLOOKUP($L260,Data_Validation!$A:$D,3,0)</f>
        <v>Véhicules neufs</v>
      </c>
      <c r="V260" s="656" t="str">
        <f>+VLOOKUP($L260,Data_Validation!$A:$D,4,0)</f>
        <v>Assurances</v>
      </c>
      <c r="W260" s="656" t="str">
        <f>+VLOOKUP($L260,Data_Validation!$A:$E,5,0)</f>
        <v>$</v>
      </c>
      <c r="X260" s="656">
        <f>+VLOOKUP($L260,Data_Validation!$A:$F,6,0)</f>
        <v>0</v>
      </c>
    </row>
    <row r="261" spans="1:24" ht="15" customHeight="1">
      <c r="A261" s="1329" t="s">
        <v>1219</v>
      </c>
      <c r="B261" s="1329" t="s">
        <v>1220</v>
      </c>
      <c r="C261" s="1331">
        <v>5280</v>
      </c>
      <c r="D261" s="1331">
        <v>5280</v>
      </c>
      <c r="E261" s="1331">
        <v>10560</v>
      </c>
      <c r="F261" s="1329" t="s">
        <v>1154</v>
      </c>
      <c r="G261" s="1329" t="s">
        <v>1220</v>
      </c>
      <c r="H261" s="1329" t="s">
        <v>3942</v>
      </c>
      <c r="I261" s="652"/>
      <c r="J261" s="652"/>
      <c r="K261" s="652"/>
      <c r="L261" s="653" t="str">
        <f t="shared" si="176"/>
        <v>6187</v>
      </c>
      <c r="M261" s="654" t="str">
        <f t="shared" si="177"/>
        <v>TAXE SUR PROPRIETE</v>
      </c>
      <c r="N261" s="655">
        <f>+IF(OR($Q261=Parametres!$G$2,$Q261=Parametres!$G$3),I261,C261)</f>
        <v>5280</v>
      </c>
      <c r="O261" s="655">
        <f>+IF(OR($Q261=Parametres!$G$2,$Q261=Parametres!$G$3),J261,D261)</f>
        <v>5280</v>
      </c>
      <c r="P261" s="655">
        <f>+IF(OR($Q261=Parametres!$G$2,$Q261=Parametres!$G$3),K261,E261)</f>
        <v>10560</v>
      </c>
      <c r="Q261" s="654" t="str">
        <f t="shared" si="178"/>
        <v>7-Dépenses</v>
      </c>
      <c r="R261" s="653" t="str">
        <f t="shared" si="179"/>
        <v>6187</v>
      </c>
      <c r="S261" s="654" t="str">
        <f t="shared" si="180"/>
        <v>_</v>
      </c>
      <c r="T261" s="656" t="str">
        <f>+VLOOKUP($L261,Data_Validation!$A:$D,1,0)</f>
        <v>6187</v>
      </c>
      <c r="U261" s="656" t="str">
        <f>+VLOOKUP($L261,Data_Validation!$A:$D,3,0)</f>
        <v>Véhicules neufs</v>
      </c>
      <c r="V261" s="656" t="str">
        <f>+VLOOKUP($L261,Data_Validation!$A:$D,4,0)</f>
        <v>Taxes foncières</v>
      </c>
      <c r="W261" s="656" t="str">
        <f>+VLOOKUP($L261,Data_Validation!$A:$E,5,0)</f>
        <v>$</v>
      </c>
      <c r="X261" s="656">
        <f>+VLOOKUP($L261,Data_Validation!$A:$F,6,0)</f>
        <v>0</v>
      </c>
    </row>
    <row r="262" spans="1:24" ht="15.75" customHeight="1">
      <c r="A262" s="1329" t="s">
        <v>1221</v>
      </c>
      <c r="B262" s="1329" t="s">
        <v>1222</v>
      </c>
      <c r="C262" s="1331">
        <v>480</v>
      </c>
      <c r="D262" s="1331">
        <v>480</v>
      </c>
      <c r="E262" s="1331">
        <v>960</v>
      </c>
      <c r="F262" s="1329" t="s">
        <v>1154</v>
      </c>
      <c r="G262" s="1329" t="s">
        <v>1222</v>
      </c>
      <c r="H262" s="1329" t="s">
        <v>3942</v>
      </c>
      <c r="I262" s="672"/>
      <c r="J262" s="663"/>
      <c r="K262" s="672"/>
      <c r="L262" s="653" t="str">
        <f t="shared" si="176"/>
        <v>6193</v>
      </c>
      <c r="M262" s="654" t="str">
        <f t="shared" si="177"/>
        <v>TAXES AUTRES PERMIS LICENCE</v>
      </c>
      <c r="N262" s="655">
        <f>+IF(OR($Q262=Parametres!$G$2,$Q262=Parametres!$G$3),I262,C262)</f>
        <v>480</v>
      </c>
      <c r="O262" s="655">
        <f>+IF(OR($Q262=Parametres!$G$2,$Q262=Parametres!$G$3),J262,D262)</f>
        <v>480</v>
      </c>
      <c r="P262" s="655">
        <f>+IF(OR($Q262=Parametres!$G$2,$Q262=Parametres!$G$3),K262,E262)</f>
        <v>960</v>
      </c>
      <c r="Q262" s="654" t="str">
        <f t="shared" si="178"/>
        <v>7-Dépenses</v>
      </c>
      <c r="R262" s="653" t="str">
        <f t="shared" si="179"/>
        <v>6193</v>
      </c>
      <c r="S262" s="654" t="str">
        <f t="shared" si="180"/>
        <v>_</v>
      </c>
      <c r="T262" s="671" t="str">
        <f>+VLOOKUP($L262,Data_Validation!$A:$D,1,0)</f>
        <v>6193</v>
      </c>
      <c r="U262" s="656" t="str">
        <f>+VLOOKUP($L262,Data_Validation!$A:$D,3,0)</f>
        <v>Véhicules neufs</v>
      </c>
      <c r="V262" s="656" t="str">
        <f>+VLOOKUP($L262,Data_Validation!$A:$D,4,0)</f>
        <v>Taxes d`affaires</v>
      </c>
      <c r="W262" s="656" t="str">
        <f>+VLOOKUP($L262,Data_Validation!$A:$E,5,0)</f>
        <v>$</v>
      </c>
      <c r="X262" s="656">
        <f>+VLOOKUP($L262,Data_Validation!$A:$F,6,0)</f>
        <v>0</v>
      </c>
    </row>
    <row r="263" spans="1:24" ht="15" customHeight="1">
      <c r="A263" s="1329" t="s">
        <v>1223</v>
      </c>
      <c r="B263" s="1329" t="s">
        <v>1224</v>
      </c>
      <c r="C263" s="1331">
        <v>2055.4699999999998</v>
      </c>
      <c r="D263" s="1331">
        <v>12612.83</v>
      </c>
      <c r="E263" s="1331">
        <v>14668.3</v>
      </c>
      <c r="F263" s="1329" t="s">
        <v>1154</v>
      </c>
      <c r="G263" s="1329" t="s">
        <v>1224</v>
      </c>
      <c r="H263" s="1329" t="s">
        <v>3942</v>
      </c>
      <c r="I263" s="670"/>
      <c r="J263" s="651"/>
      <c r="K263" s="670"/>
      <c r="L263" s="653" t="str">
        <f t="shared" si="176"/>
        <v>6194</v>
      </c>
      <c r="M263" s="654" t="str">
        <f t="shared" si="177"/>
        <v>HONORAIRES PROFESSIONNELS</v>
      </c>
      <c r="N263" s="655">
        <f>+IF(OR($Q263=Parametres!$G$2,$Q263=Parametres!$G$3),I263,C263)</f>
        <v>2055.4699999999998</v>
      </c>
      <c r="O263" s="655">
        <f>+IF(OR($Q263=Parametres!$G$2,$Q263=Parametres!$G$3),J263,D263)</f>
        <v>12612.83</v>
      </c>
      <c r="P263" s="655">
        <f>+IF(OR($Q263=Parametres!$G$2,$Q263=Parametres!$G$3),K263,E263)</f>
        <v>14668.3</v>
      </c>
      <c r="Q263" s="654" t="str">
        <f t="shared" si="178"/>
        <v>7-Dépenses</v>
      </c>
      <c r="R263" s="653" t="str">
        <f t="shared" si="179"/>
        <v>6194</v>
      </c>
      <c r="S263" s="654" t="str">
        <f t="shared" si="180"/>
        <v>_</v>
      </c>
      <c r="T263" s="656" t="str">
        <f>+VLOOKUP($L263,Data_Validation!$A:$D,1,0)</f>
        <v>6194</v>
      </c>
      <c r="U263" s="656" t="str">
        <f>+VLOOKUP($L263,Data_Validation!$A:$D,3,0)</f>
        <v>Véhicules neufs</v>
      </c>
      <c r="V263" s="656" t="str">
        <f>+VLOOKUP($L263,Data_Validation!$A:$D,4,0)</f>
        <v>Honoraires</v>
      </c>
      <c r="W263" s="656" t="str">
        <f>+VLOOKUP($L263,Data_Validation!$A:$E,5,0)</f>
        <v>$</v>
      </c>
      <c r="X263" s="656">
        <f>+VLOOKUP($L263,Data_Validation!$A:$F,6,0)</f>
        <v>0</v>
      </c>
    </row>
    <row r="264" spans="1:24" ht="15" customHeight="1">
      <c r="A264" s="1329" t="s">
        <v>1225</v>
      </c>
      <c r="B264" s="1329" t="s">
        <v>2319</v>
      </c>
      <c r="C264" s="1331">
        <v>14074.18</v>
      </c>
      <c r="D264" s="1331">
        <v>5095.76</v>
      </c>
      <c r="E264" s="1331">
        <v>19169.939999999999</v>
      </c>
      <c r="F264" s="1329" t="s">
        <v>1154</v>
      </c>
      <c r="G264" s="1329" t="s">
        <v>1155</v>
      </c>
      <c r="H264" s="1329" t="s">
        <v>3942</v>
      </c>
      <c r="I264" s="652"/>
      <c r="J264" s="652"/>
      <c r="K264" s="652"/>
      <c r="L264" s="653" t="str">
        <f t="shared" si="176"/>
        <v>6201</v>
      </c>
      <c r="M264" s="654" t="str">
        <f t="shared" si="177"/>
        <v>COMMISSION USAGES</v>
      </c>
      <c r="N264" s="655">
        <f>+IF(OR($Q264=Parametres!$G$2,$Q264=Parametres!$G$3),I264,C264)</f>
        <v>14074.18</v>
      </c>
      <c r="O264" s="659">
        <f>+IF(OR($Q264=Parametres!$G$2,$Q264=Parametres!$G$3),J264,D264)</f>
        <v>5095.76</v>
      </c>
      <c r="P264" s="655">
        <f>+IF(OR($Q264=Parametres!$G$2,$Q264=Parametres!$G$3),K264,E264)</f>
        <v>19169.939999999999</v>
      </c>
      <c r="Q264" s="654" t="str">
        <f t="shared" si="178"/>
        <v>7-Dépenses</v>
      </c>
      <c r="R264" s="653" t="str">
        <f t="shared" si="179"/>
        <v>6101</v>
      </c>
      <c r="S264" s="654" t="str">
        <f t="shared" si="180"/>
        <v>_</v>
      </c>
      <c r="T264" s="656" t="str">
        <f>+VLOOKUP($L264,Data_Validation!$A:$D,1,0)</f>
        <v>6201</v>
      </c>
      <c r="U264" s="656" t="str">
        <f>+VLOOKUP($L264,Data_Validation!$A:$D,3,0)</f>
        <v>Véhicules usagés</v>
      </c>
      <c r="V264" s="656" t="str">
        <f>+VLOOKUP($L264,Data_Validation!$A:$D,4,0)</f>
        <v>Comm. vendeurs</v>
      </c>
      <c r="W264" s="656" t="str">
        <f>+VLOOKUP($L264,Data_Validation!$A:$E,5,0)</f>
        <v>$</v>
      </c>
      <c r="X264" s="656">
        <f>+VLOOKUP($L264,Data_Validation!$A:$F,6,0)</f>
        <v>0</v>
      </c>
    </row>
    <row r="265" spans="1:24" ht="15" customHeight="1">
      <c r="A265" s="1329" t="s">
        <v>1156</v>
      </c>
      <c r="B265" s="1329" t="s">
        <v>2322</v>
      </c>
      <c r="C265" s="1331">
        <v>17448.12</v>
      </c>
      <c r="D265" s="1331">
        <v>6586.51</v>
      </c>
      <c r="E265" s="1331">
        <v>24034.63</v>
      </c>
      <c r="F265" s="1329" t="s">
        <v>1154</v>
      </c>
      <c r="G265" s="1329" t="s">
        <v>1157</v>
      </c>
      <c r="H265" s="1329" t="s">
        <v>3942</v>
      </c>
      <c r="I265" s="651"/>
      <c r="J265" s="651"/>
      <c r="K265" s="651"/>
      <c r="L265" s="653" t="str">
        <f t="shared" si="176"/>
        <v>6202</v>
      </c>
      <c r="M265" s="654" t="str">
        <f t="shared" si="177"/>
        <v>RENUMERATION F &amp; I</v>
      </c>
      <c r="N265" s="655">
        <f>+IF(OR($Q265=Parametres!$G$2,$Q265=Parametres!$G$3),I265,C265)</f>
        <v>17448.12</v>
      </c>
      <c r="O265" s="659">
        <f>+IF(OR($Q265=Parametres!$G$2,$Q265=Parametres!$G$3),J265,D265)</f>
        <v>6586.51</v>
      </c>
      <c r="P265" s="655">
        <f>+IF(OR($Q265=Parametres!$G$2,$Q265=Parametres!$G$3),K265,E265)</f>
        <v>24034.63</v>
      </c>
      <c r="Q265" s="654" t="str">
        <f t="shared" si="178"/>
        <v>7-Dépenses</v>
      </c>
      <c r="R265" s="653" t="str">
        <f t="shared" si="179"/>
        <v>6102</v>
      </c>
      <c r="S265" s="654" t="str">
        <f t="shared" si="180"/>
        <v>_</v>
      </c>
      <c r="T265" s="656" t="str">
        <f>+VLOOKUP($L265,Data_Validation!$A:$D,1,0)</f>
        <v>6202</v>
      </c>
      <c r="U265" s="656" t="str">
        <f>+VLOOKUP($L265,Data_Validation!$A:$D,3,0)</f>
        <v>Véhicules usagés</v>
      </c>
      <c r="V265" s="656" t="str">
        <f>+VLOOKUP($L265,Data_Validation!$A:$D,4,0)</f>
        <v>Comm. F&amp;I</v>
      </c>
      <c r="W265" s="656" t="str">
        <f>+VLOOKUP($L265,Data_Validation!$A:$E,5,0)</f>
        <v>$</v>
      </c>
      <c r="X265" s="656">
        <f>+VLOOKUP($L265,Data_Validation!$A:$F,6,0)</f>
        <v>0</v>
      </c>
    </row>
    <row r="266" spans="1:24" ht="15" customHeight="1">
      <c r="A266" s="1329" t="s">
        <v>1226</v>
      </c>
      <c r="B266" s="1329" t="s">
        <v>2325</v>
      </c>
      <c r="C266" s="1331">
        <v>1171.8900000000001</v>
      </c>
      <c r="D266" s="1331">
        <v>2465.79</v>
      </c>
      <c r="E266" s="1331">
        <v>3637.68</v>
      </c>
      <c r="F266" s="1329" t="s">
        <v>1154</v>
      </c>
      <c r="G266" s="1329" t="s">
        <v>1159</v>
      </c>
      <c r="H266" s="1329" t="s">
        <v>3942</v>
      </c>
      <c r="I266" s="670"/>
      <c r="J266" s="651"/>
      <c r="K266" s="670"/>
      <c r="L266" s="653" t="str">
        <f t="shared" si="176"/>
        <v>6203</v>
      </c>
      <c r="M266" s="654" t="str">
        <f t="shared" si="177"/>
        <v>RELAT. A LA CLIENTELLE &amp; AJUST</v>
      </c>
      <c r="N266" s="655">
        <f>+IF(OR($Q266=Parametres!$G$2,$Q266=Parametres!$G$3),I266,C266)</f>
        <v>1171.8900000000001</v>
      </c>
      <c r="O266" s="655">
        <f>+IF(OR($Q266=Parametres!$G$2,$Q266=Parametres!$G$3),J266,D266)</f>
        <v>2465.79</v>
      </c>
      <c r="P266" s="655">
        <f>+IF(OR($Q266=Parametres!$G$2,$Q266=Parametres!$G$3),K266,E266)</f>
        <v>3637.68</v>
      </c>
      <c r="Q266" s="654" t="str">
        <f t="shared" si="178"/>
        <v>7-Dépenses</v>
      </c>
      <c r="R266" s="653" t="str">
        <f t="shared" si="179"/>
        <v>6103</v>
      </c>
      <c r="S266" s="654" t="str">
        <f t="shared" si="180"/>
        <v>_</v>
      </c>
      <c r="T266" s="656" t="str">
        <f>+VLOOKUP($L266,Data_Validation!$A:$D,1,0)</f>
        <v>6203</v>
      </c>
      <c r="U266" s="656" t="str">
        <f>+VLOOKUP($L266,Data_Validation!$A:$D,3,0)</f>
        <v>Véhicules usagés</v>
      </c>
      <c r="V266" s="656" t="str">
        <f>+VLOOKUP($L266,Data_Validation!$A:$D,4,0)</f>
        <v>Service gratuit 1</v>
      </c>
      <c r="W266" s="656" t="str">
        <f>+VLOOKUP($L266,Data_Validation!$A:$E,5,0)</f>
        <v>$</v>
      </c>
      <c r="X266" s="656">
        <f>+VLOOKUP($L266,Data_Validation!$A:$F,6,0)</f>
        <v>0</v>
      </c>
    </row>
    <row r="267" spans="1:24" ht="15" customHeight="1">
      <c r="A267" s="1329" t="s">
        <v>1160</v>
      </c>
      <c r="B267" s="1329" t="s">
        <v>2328</v>
      </c>
      <c r="C267" s="1331">
        <v>3454.98</v>
      </c>
      <c r="D267" s="1331">
        <v>9425</v>
      </c>
      <c r="E267" s="1331">
        <v>12879.98</v>
      </c>
      <c r="F267" s="1329" t="s">
        <v>1154</v>
      </c>
      <c r="G267" s="1329" t="s">
        <v>1161</v>
      </c>
      <c r="H267" s="1329" t="s">
        <v>3942</v>
      </c>
      <c r="I267" s="670"/>
      <c r="J267" s="651"/>
      <c r="K267" s="670"/>
      <c r="L267" s="653" t="str">
        <f t="shared" si="176"/>
        <v>6206</v>
      </c>
      <c r="M267" s="654" t="str">
        <f t="shared" si="177"/>
        <v>ENTRETIEN DES STOCKS</v>
      </c>
      <c r="N267" s="655">
        <f>+IF(OR($Q267=Parametres!$G$2,$Q267=Parametres!$G$3),I267,C267)</f>
        <v>3454.98</v>
      </c>
      <c r="O267" s="655">
        <f>+IF(OR($Q267=Parametres!$G$2,$Q267=Parametres!$G$3),J267,D267)</f>
        <v>9425</v>
      </c>
      <c r="P267" s="655">
        <f>+IF(OR($Q267=Parametres!$G$2,$Q267=Parametres!$G$3),K267,E267)</f>
        <v>12879.98</v>
      </c>
      <c r="Q267" s="654" t="str">
        <f t="shared" si="178"/>
        <v>7-Dépenses</v>
      </c>
      <c r="R267" s="653" t="str">
        <f t="shared" si="179"/>
        <v>6106</v>
      </c>
      <c r="S267" s="654" t="str">
        <f t="shared" si="180"/>
        <v>_</v>
      </c>
      <c r="T267" s="656" t="str">
        <f>+VLOOKUP($L267,Data_Validation!$A:$D,1,0)</f>
        <v>6206</v>
      </c>
      <c r="U267" s="656" t="str">
        <f>+VLOOKUP($L267,Data_Validation!$A:$D,3,0)</f>
        <v>Véhicules usagés</v>
      </c>
      <c r="V267" s="656" t="str">
        <f>+VLOOKUP($L267,Data_Validation!$A:$D,4,0)</f>
        <v>Entretien stock</v>
      </c>
      <c r="W267" s="656" t="str">
        <f>+VLOOKUP($L267,Data_Validation!$A:$E,5,0)</f>
        <v>$</v>
      </c>
      <c r="X267" s="656">
        <f>+VLOOKUP($L267,Data_Validation!$A:$F,6,0)</f>
        <v>0</v>
      </c>
    </row>
    <row r="268" spans="1:24" ht="15" customHeight="1">
      <c r="A268" s="1329" t="s">
        <v>1162</v>
      </c>
      <c r="B268" s="1329" t="s">
        <v>2331</v>
      </c>
      <c r="C268" s="1331">
        <v>667.4</v>
      </c>
      <c r="D268" s="1331">
        <v>0</v>
      </c>
      <c r="E268" s="1331">
        <v>667.4</v>
      </c>
      <c r="F268" s="1329" t="s">
        <v>1154</v>
      </c>
      <c r="G268" s="1329" t="s">
        <v>1163</v>
      </c>
      <c r="H268" s="1329" t="s">
        <v>3942</v>
      </c>
      <c r="I268" s="670"/>
      <c r="J268" s="651"/>
      <c r="K268" s="670"/>
      <c r="L268" s="653" t="str">
        <f t="shared" si="176"/>
        <v>6207</v>
      </c>
      <c r="M268" s="654" t="str">
        <f t="shared" si="177"/>
        <v>INTERET-PLAN DE FINANCEMENT</v>
      </c>
      <c r="N268" s="655">
        <f>+IF(OR($Q268=Parametres!$G$2,$Q268=Parametres!$G$3),I268,C268)</f>
        <v>667.4</v>
      </c>
      <c r="O268" s="655">
        <f>+IF(OR($Q268=Parametres!$G$2,$Q268=Parametres!$G$3),J268,D268)</f>
        <v>0</v>
      </c>
      <c r="P268" s="655">
        <f>+IF(OR($Q268=Parametres!$G$2,$Q268=Parametres!$G$3),K268,E268)</f>
        <v>667.4</v>
      </c>
      <c r="Q268" s="654" t="str">
        <f t="shared" si="178"/>
        <v>7-Dépenses</v>
      </c>
      <c r="R268" s="653" t="str">
        <f t="shared" si="179"/>
        <v>6107</v>
      </c>
      <c r="S268" s="654" t="str">
        <f t="shared" si="180"/>
        <v>_</v>
      </c>
      <c r="T268" s="656" t="str">
        <f>+VLOOKUP($L268,Data_Validation!$A:$D,1,0)</f>
        <v>6207</v>
      </c>
      <c r="U268" s="656" t="str">
        <f>+VLOOKUP($L268,Data_Validation!$A:$D,3,0)</f>
        <v>Véhicules usagés</v>
      </c>
      <c r="V268" s="656" t="str">
        <f>+VLOOKUP($L268,Data_Validation!$A:$D,4,0)</f>
        <v>Intérêt de gros</v>
      </c>
      <c r="W268" s="656" t="str">
        <f>+VLOOKUP($L268,Data_Validation!$A:$E,5,0)</f>
        <v>$</v>
      </c>
      <c r="X268" s="656">
        <f>+VLOOKUP($L268,Data_Validation!$A:$F,6,0)</f>
        <v>0</v>
      </c>
    </row>
    <row r="269" spans="1:24" ht="15" customHeight="1">
      <c r="A269" s="1329" t="s">
        <v>1164</v>
      </c>
      <c r="B269" s="1329" t="s">
        <v>2334</v>
      </c>
      <c r="C269" s="1331">
        <v>-434.42</v>
      </c>
      <c r="D269" s="1331">
        <v>-1184.69</v>
      </c>
      <c r="E269" s="1331">
        <v>-1619.11</v>
      </c>
      <c r="F269" s="1329" t="s">
        <v>1154</v>
      </c>
      <c r="G269" s="1329" t="s">
        <v>1165</v>
      </c>
      <c r="H269" s="1329" t="s">
        <v>3942</v>
      </c>
      <c r="I269" s="652"/>
      <c r="J269" s="652"/>
      <c r="K269" s="652"/>
      <c r="L269" s="653" t="str">
        <f t="shared" si="176"/>
        <v>6208</v>
      </c>
      <c r="M269" s="654" t="str">
        <f t="shared" si="177"/>
        <v>FRAIS DE LIVRAISON</v>
      </c>
      <c r="N269" s="655">
        <f>+IF(OR($Q269=Parametres!$G$2,$Q269=Parametres!$G$3),I269,C269)</f>
        <v>-434.42</v>
      </c>
      <c r="O269" s="655">
        <f>+IF(OR($Q269=Parametres!$G$2,$Q269=Parametres!$G$3),J269,D269)</f>
        <v>-1184.69</v>
      </c>
      <c r="P269" s="655">
        <f>+IF(OR($Q269=Parametres!$G$2,$Q269=Parametres!$G$3),K269,E269)</f>
        <v>-1619.11</v>
      </c>
      <c r="Q269" s="654" t="str">
        <f t="shared" si="178"/>
        <v>7-Dépenses</v>
      </c>
      <c r="R269" s="653" t="str">
        <f t="shared" si="179"/>
        <v>6108</v>
      </c>
      <c r="S269" s="654" t="str">
        <f t="shared" si="180"/>
        <v>_</v>
      </c>
      <c r="T269" s="656" t="str">
        <f>+VLOOKUP($L269,Data_Validation!$A:$D,1,0)</f>
        <v>6208</v>
      </c>
      <c r="U269" s="656" t="str">
        <f>+VLOOKUP($L269,Data_Validation!$A:$D,3,0)</f>
        <v>Véhicules usagés</v>
      </c>
      <c r="V269" s="656" t="str">
        <f>+VLOOKUP($L269,Data_Validation!$A:$D,4,0)</f>
        <v>Frais de livraison</v>
      </c>
      <c r="W269" s="656" t="str">
        <f>+VLOOKUP($L269,Data_Validation!$A:$E,5,0)</f>
        <v>$</v>
      </c>
      <c r="X269" s="656">
        <f>+VLOOKUP($L269,Data_Validation!$A:$F,6,0)</f>
        <v>0</v>
      </c>
    </row>
    <row r="270" spans="1:24" ht="15" customHeight="1">
      <c r="A270" s="1329" t="s">
        <v>1166</v>
      </c>
      <c r="B270" s="1329" t="s">
        <v>2340</v>
      </c>
      <c r="C270" s="1331">
        <v>13318.36</v>
      </c>
      <c r="D270" s="1331">
        <v>7678.42</v>
      </c>
      <c r="E270" s="1331">
        <v>20996.78</v>
      </c>
      <c r="F270" s="1329" t="s">
        <v>1154</v>
      </c>
      <c r="G270" s="1329" t="s">
        <v>1167</v>
      </c>
      <c r="H270" s="1329" t="s">
        <v>3942</v>
      </c>
      <c r="I270" s="652"/>
      <c r="J270" s="652"/>
      <c r="K270" s="652"/>
      <c r="L270" s="653" t="str">
        <f t="shared" si="176"/>
        <v>6214</v>
      </c>
      <c r="M270" s="654" t="str">
        <f t="shared" si="177"/>
        <v>PUBLICITE</v>
      </c>
      <c r="N270" s="655">
        <f>+IF(OR($Q270=Parametres!$G$2,$Q270=Parametres!$G$3),I270,C270)</f>
        <v>13318.36</v>
      </c>
      <c r="O270" s="655">
        <f>+IF(OR($Q270=Parametres!$G$2,$Q270=Parametres!$G$3),J270,D270)</f>
        <v>7678.42</v>
      </c>
      <c r="P270" s="655">
        <f>+IF(OR($Q270=Parametres!$G$2,$Q270=Parametres!$G$3),K270,E270)</f>
        <v>20996.78</v>
      </c>
      <c r="Q270" s="654" t="str">
        <f t="shared" si="178"/>
        <v>7-Dépenses</v>
      </c>
      <c r="R270" s="653" t="str">
        <f t="shared" si="179"/>
        <v>6114</v>
      </c>
      <c r="S270" s="654" t="str">
        <f t="shared" si="180"/>
        <v>_</v>
      </c>
      <c r="T270" s="656" t="str">
        <f>+VLOOKUP($L270,Data_Validation!$A:$D,1,0)</f>
        <v>6214</v>
      </c>
      <c r="U270" s="656" t="str">
        <f>+VLOOKUP($L270,Data_Validation!$A:$D,3,0)</f>
        <v>Véhicules usagés</v>
      </c>
      <c r="V270" s="656" t="str">
        <f>+VLOOKUP($L270,Data_Validation!$A:$D,4,0)</f>
        <v>Publicité 1</v>
      </c>
      <c r="W270" s="656" t="str">
        <f>+VLOOKUP($L270,Data_Validation!$A:$E,5,0)</f>
        <v>$</v>
      </c>
      <c r="X270" s="656">
        <f>+VLOOKUP($L270,Data_Validation!$A:$F,6,0)</f>
        <v>0</v>
      </c>
    </row>
    <row r="271" spans="1:24" ht="15" customHeight="1">
      <c r="A271" s="1329" t="s">
        <v>1227</v>
      </c>
      <c r="B271" s="1329" t="s">
        <v>2343</v>
      </c>
      <c r="C271" s="1331">
        <v>-3500</v>
      </c>
      <c r="D271" s="1331">
        <v>-1800</v>
      </c>
      <c r="E271" s="1331">
        <v>-5300</v>
      </c>
      <c r="F271" s="1329" t="s">
        <v>1154</v>
      </c>
      <c r="G271" s="1329" t="s">
        <v>1167</v>
      </c>
      <c r="H271" s="1329" t="s">
        <v>3942</v>
      </c>
      <c r="I271" s="670"/>
      <c r="J271" s="651"/>
      <c r="K271" s="670"/>
      <c r="L271" s="653" t="str">
        <f t="shared" si="176"/>
        <v>6215</v>
      </c>
      <c r="M271" s="654" t="str">
        <f t="shared" si="177"/>
        <v>CREDIT PUBLICITE USAGES</v>
      </c>
      <c r="N271" s="655">
        <f>+IF(OR($Q271=Parametres!$G$2,$Q271=Parametres!$G$3),I271,C271)</f>
        <v>-3500</v>
      </c>
      <c r="O271" s="655">
        <f>+IF(OR($Q271=Parametres!$G$2,$Q271=Parametres!$G$3),J271,D271)</f>
        <v>-1800</v>
      </c>
      <c r="P271" s="655">
        <f>+IF(OR($Q271=Parametres!$G$2,$Q271=Parametres!$G$3),K271,E271)</f>
        <v>-5300</v>
      </c>
      <c r="Q271" s="654" t="str">
        <f t="shared" si="178"/>
        <v>7-Dépenses</v>
      </c>
      <c r="R271" s="653" t="str">
        <f t="shared" si="179"/>
        <v>6114</v>
      </c>
      <c r="S271" s="654" t="str">
        <f t="shared" si="180"/>
        <v>_</v>
      </c>
      <c r="T271" s="656" t="str">
        <f>+VLOOKUP($L271,Data_Validation!$A:$D,1,0)</f>
        <v>6215</v>
      </c>
      <c r="U271" s="656" t="str">
        <f>+VLOOKUP($L271,Data_Validation!$A:$D,3,0)</f>
        <v>Véhicules usagés</v>
      </c>
      <c r="V271" s="656" t="str">
        <f>+VLOOKUP($L271,Data_Validation!$A:$D,4,0)</f>
        <v>Publicité 1</v>
      </c>
      <c r="W271" s="656" t="str">
        <f>+VLOOKUP($L271,Data_Validation!$A:$E,5,0)</f>
        <v>$</v>
      </c>
      <c r="X271" s="656">
        <f>+VLOOKUP($L271,Data_Validation!$A:$F,6,0)</f>
        <v>0</v>
      </c>
    </row>
    <row r="272" spans="1:24" ht="15.75" customHeight="1">
      <c r="A272" s="1329" t="s">
        <v>3961</v>
      </c>
      <c r="B272" s="1329" t="s">
        <v>2349</v>
      </c>
      <c r="C272" s="1331">
        <v>1346.27</v>
      </c>
      <c r="D272" s="1331">
        <v>1266.08</v>
      </c>
      <c r="E272" s="1331">
        <v>2612.35</v>
      </c>
      <c r="F272" s="1329" t="s">
        <v>1154</v>
      </c>
      <c r="G272" s="1329" t="s">
        <v>1170</v>
      </c>
      <c r="H272" s="1329" t="s">
        <v>3942</v>
      </c>
      <c r="I272" s="672"/>
      <c r="J272" s="663"/>
      <c r="K272" s="672"/>
      <c r="L272" s="653" t="str">
        <f t="shared" si="176"/>
        <v>6221</v>
      </c>
      <c r="M272" s="654" t="str">
        <f t="shared" si="177"/>
        <v>SALAIRES - DIRECTION GENERALE</v>
      </c>
      <c r="N272" s="655">
        <f>+IF(OR($Q272=Parametres!$G$2,$Q272=Parametres!$G$3),I272,C272)</f>
        <v>1346.27</v>
      </c>
      <c r="O272" s="655">
        <f>+IF(OR($Q272=Parametres!$G$2,$Q272=Parametres!$G$3),J272,D272)</f>
        <v>1266.08</v>
      </c>
      <c r="P272" s="655">
        <f>+IF(OR($Q272=Parametres!$G$2,$Q272=Parametres!$G$3),K272,E272)</f>
        <v>2612.35</v>
      </c>
      <c r="Q272" s="654" t="str">
        <f t="shared" si="178"/>
        <v>7-Dépenses</v>
      </c>
      <c r="R272" s="653" t="str">
        <f t="shared" si="179"/>
        <v>6121</v>
      </c>
      <c r="S272" s="654" t="str">
        <f t="shared" si="180"/>
        <v>_</v>
      </c>
      <c r="T272" s="656" t="str">
        <f>+VLOOKUP($L272,Data_Validation!$A:$D,1,0)</f>
        <v>6221</v>
      </c>
      <c r="U272" s="656" t="str">
        <f>+VLOOKUP($L272,Data_Validation!$A:$D,3,0)</f>
        <v>Véhicules usagés</v>
      </c>
      <c r="V272" s="656" t="str">
        <f>+VLOOKUP($L272,Data_Validation!$A:$D,4,0)</f>
        <v>Salaires propriétaire</v>
      </c>
      <c r="W272" s="656" t="str">
        <f>+VLOOKUP($L272,Data_Validation!$A:$E,5,0)</f>
        <v>$</v>
      </c>
      <c r="X272" s="656">
        <f>+VLOOKUP($L272,Data_Validation!$A:$F,6,0)</f>
        <v>0</v>
      </c>
    </row>
    <row r="273" spans="1:24" ht="15" customHeight="1">
      <c r="A273" s="1329" t="s">
        <v>1171</v>
      </c>
      <c r="B273" s="1329" t="s">
        <v>2352</v>
      </c>
      <c r="C273" s="1331">
        <v>9221.23</v>
      </c>
      <c r="D273" s="1331">
        <v>8308.4699999999993</v>
      </c>
      <c r="E273" s="1331">
        <v>17529.7</v>
      </c>
      <c r="F273" s="1329" t="s">
        <v>1154</v>
      </c>
      <c r="G273" s="1329" t="s">
        <v>1172</v>
      </c>
      <c r="H273" s="1329" t="s">
        <v>3942</v>
      </c>
      <c r="I273" s="652"/>
      <c r="J273" s="652"/>
      <c r="K273" s="652"/>
      <c r="L273" s="653" t="str">
        <f t="shared" si="176"/>
        <v>6222</v>
      </c>
      <c r="M273" s="654" t="str">
        <f t="shared" si="177"/>
        <v>SAL SUPERVISION / GERANT</v>
      </c>
      <c r="N273" s="655">
        <f>+IF(OR($Q273=Parametres!$G$2,$Q273=Parametres!$G$3),I273,C273)</f>
        <v>9221.23</v>
      </c>
      <c r="O273" s="659">
        <f>+IF(OR($Q273=Parametres!$G$2,$Q273=Parametres!$G$3),J273,D273)</f>
        <v>8308.4699999999993</v>
      </c>
      <c r="P273" s="655">
        <f>+IF(OR($Q273=Parametres!$G$2,$Q273=Parametres!$G$3),K273,E273)</f>
        <v>17529.7</v>
      </c>
      <c r="Q273" s="654" t="str">
        <f t="shared" si="178"/>
        <v>7-Dépenses</v>
      </c>
      <c r="R273" s="653" t="str">
        <f t="shared" si="179"/>
        <v>6122</v>
      </c>
      <c r="S273" s="654" t="str">
        <f t="shared" si="180"/>
        <v>_</v>
      </c>
      <c r="T273" s="656" t="str">
        <f>+VLOOKUP($L273,Data_Validation!$A:$D,1,0)</f>
        <v>6222</v>
      </c>
      <c r="U273" s="656" t="str">
        <f>+VLOOKUP($L273,Data_Validation!$A:$D,3,0)</f>
        <v>Véhicules usagés</v>
      </c>
      <c r="V273" s="656" t="str">
        <f>+VLOOKUP($L273,Data_Validation!$A:$D,4,0)</f>
        <v>Salaires cadres</v>
      </c>
      <c r="W273" s="656" t="str">
        <f>+VLOOKUP($L273,Data_Validation!$A:$E,5,0)</f>
        <v>$</v>
      </c>
      <c r="X273" s="656">
        <f>+VLOOKUP($L273,Data_Validation!$A:$F,6,0)</f>
        <v>0</v>
      </c>
    </row>
    <row r="274" spans="1:24" ht="15" customHeight="1">
      <c r="A274" s="1329" t="s">
        <v>1173</v>
      </c>
      <c r="B274" s="1329" t="s">
        <v>2355</v>
      </c>
      <c r="C274" s="1331">
        <v>7195.64</v>
      </c>
      <c r="D274" s="1331">
        <v>2418.9899999999998</v>
      </c>
      <c r="E274" s="1331">
        <v>9614.6299999999992</v>
      </c>
      <c r="F274" s="1329" t="s">
        <v>1154</v>
      </c>
      <c r="G274" s="1329" t="s">
        <v>1174</v>
      </c>
      <c r="H274" s="1329" t="s">
        <v>3942</v>
      </c>
      <c r="I274" s="670"/>
      <c r="J274" s="651"/>
      <c r="K274" s="670"/>
      <c r="L274" s="653" t="str">
        <f t="shared" si="176"/>
        <v>6223</v>
      </c>
      <c r="M274" s="654" t="str">
        <f t="shared" si="177"/>
        <v>SAL. &amp; RENUM. - CLERICAL</v>
      </c>
      <c r="N274" s="655">
        <f>+IF(OR($Q274=Parametres!$G$2,$Q274=Parametres!$G$3),I274,C274)</f>
        <v>7195.64</v>
      </c>
      <c r="O274" s="655">
        <f>+IF(OR($Q274=Parametres!$G$2,$Q274=Parametres!$G$3),J274,D274)</f>
        <v>2418.9899999999998</v>
      </c>
      <c r="P274" s="655">
        <f>+IF(OR($Q274=Parametres!$G$2,$Q274=Parametres!$G$3),K274,E274)</f>
        <v>9614.6299999999992</v>
      </c>
      <c r="Q274" s="654" t="str">
        <f t="shared" si="178"/>
        <v>7-Dépenses</v>
      </c>
      <c r="R274" s="653" t="str">
        <f t="shared" si="179"/>
        <v>6123</v>
      </c>
      <c r="S274" s="654" t="str">
        <f t="shared" si="180"/>
        <v>_</v>
      </c>
      <c r="T274" s="656" t="str">
        <f>+VLOOKUP($L274,Data_Validation!$A:$D,1,0)</f>
        <v>6223</v>
      </c>
      <c r="U274" s="656" t="str">
        <f>+VLOOKUP($L274,Data_Validation!$A:$D,3,0)</f>
        <v>Véhicules usagés</v>
      </c>
      <c r="V274" s="656" t="str">
        <f>+VLOOKUP($L274,Data_Validation!$A:$D,4,0)</f>
        <v>Salaires commis</v>
      </c>
      <c r="W274" s="656" t="str">
        <f>+VLOOKUP($L274,Data_Validation!$A:$E,5,0)</f>
        <v>$</v>
      </c>
      <c r="X274" s="656">
        <f>+VLOOKUP($L274,Data_Validation!$A:$F,6,0)</f>
        <v>0</v>
      </c>
    </row>
    <row r="275" spans="1:24" ht="15" customHeight="1">
      <c r="A275" s="1329" t="s">
        <v>1228</v>
      </c>
      <c r="B275" s="1329" t="s">
        <v>2358</v>
      </c>
      <c r="C275" s="1331">
        <v>6194.49</v>
      </c>
      <c r="D275" s="1331">
        <v>6786.19</v>
      </c>
      <c r="E275" s="1331">
        <v>12980.68</v>
      </c>
      <c r="F275" s="1329" t="s">
        <v>1154</v>
      </c>
      <c r="G275" s="1329" t="s">
        <v>1176</v>
      </c>
      <c r="H275" s="1329" t="s">
        <v>3942</v>
      </c>
      <c r="I275" s="652"/>
      <c r="J275" s="652"/>
      <c r="K275" s="652"/>
      <c r="L275" s="653" t="str">
        <f t="shared" si="176"/>
        <v>6224</v>
      </c>
      <c r="M275" s="654" t="str">
        <f t="shared" si="177"/>
        <v>SALAIRE &amp; RENUM. - AUTRES</v>
      </c>
      <c r="N275" s="655">
        <f>+IF(OR($Q275=Parametres!$G$2,$Q275=Parametres!$G$3),I275,C275)</f>
        <v>6194.49</v>
      </c>
      <c r="O275" s="655">
        <f>+IF(OR($Q275=Parametres!$G$2,$Q275=Parametres!$G$3),J275,D275)</f>
        <v>6786.19</v>
      </c>
      <c r="P275" s="655">
        <f>+IF(OR($Q275=Parametres!$G$2,$Q275=Parametres!$G$3),K275,E275)</f>
        <v>12980.68</v>
      </c>
      <c r="Q275" s="654" t="str">
        <f t="shared" si="178"/>
        <v>7-Dépenses</v>
      </c>
      <c r="R275" s="653" t="str">
        <f t="shared" si="179"/>
        <v>6124</v>
      </c>
      <c r="S275" s="654" t="str">
        <f t="shared" si="180"/>
        <v>_</v>
      </c>
      <c r="T275" s="656" t="str">
        <f>+VLOOKUP($L275,Data_Validation!$A:$D,1,0)</f>
        <v>6224</v>
      </c>
      <c r="U275" s="656" t="str">
        <f>+VLOOKUP($L275,Data_Validation!$A:$D,3,0)</f>
        <v>Véhicules usagés</v>
      </c>
      <c r="V275" s="656" t="str">
        <f>+VLOOKUP($L275,Data_Validation!$A:$D,4,0)</f>
        <v>Salaires autres</v>
      </c>
      <c r="W275" s="656" t="str">
        <f>+VLOOKUP($L275,Data_Validation!$A:$E,5,0)</f>
        <v>$</v>
      </c>
      <c r="X275" s="656">
        <f>+VLOOKUP($L275,Data_Validation!$A:$F,6,0)</f>
        <v>0</v>
      </c>
    </row>
    <row r="276" spans="1:24" ht="15" customHeight="1">
      <c r="A276" s="1329" t="s">
        <v>1229</v>
      </c>
      <c r="B276" s="1329" t="s">
        <v>2359</v>
      </c>
      <c r="C276" s="1331">
        <v>7561.19</v>
      </c>
      <c r="D276" s="1331">
        <v>5988.91</v>
      </c>
      <c r="E276" s="1331">
        <v>13550.1</v>
      </c>
      <c r="F276" s="1329" t="s">
        <v>1154</v>
      </c>
      <c r="G276" s="1329" t="s">
        <v>1178</v>
      </c>
      <c r="H276" s="1329" t="s">
        <v>3942</v>
      </c>
      <c r="I276" s="670"/>
      <c r="J276" s="651"/>
      <c r="K276" s="670"/>
      <c r="L276" s="653" t="str">
        <f t="shared" si="176"/>
        <v>6229</v>
      </c>
      <c r="M276" s="654" t="str">
        <f t="shared" si="177"/>
        <v>ABS.,VACANCES &amp; SAL. JOURS FER</v>
      </c>
      <c r="N276" s="655">
        <f>+IF(OR($Q276=Parametres!$G$2,$Q276=Parametres!$G$3),I276,C276)</f>
        <v>7561.19</v>
      </c>
      <c r="O276" s="655">
        <f>+IF(OR($Q276=Parametres!$G$2,$Q276=Parametres!$G$3),J276,D276)</f>
        <v>5988.91</v>
      </c>
      <c r="P276" s="655">
        <f>+IF(OR($Q276=Parametres!$G$2,$Q276=Parametres!$G$3),K276,E276)</f>
        <v>13550.1</v>
      </c>
      <c r="Q276" s="654" t="str">
        <f t="shared" si="178"/>
        <v>7-Dépenses</v>
      </c>
      <c r="R276" s="653" t="str">
        <f t="shared" si="179"/>
        <v>6129</v>
      </c>
      <c r="S276" s="654" t="str">
        <f t="shared" si="180"/>
        <v>_</v>
      </c>
      <c r="T276" s="656" t="str">
        <f>+VLOOKUP($L276,Data_Validation!$A:$D,1,0)</f>
        <v>6229</v>
      </c>
      <c r="U276" s="656" t="str">
        <f>+VLOOKUP($L276,Data_Validation!$A:$D,3,0)</f>
        <v>Véhicules usagés</v>
      </c>
      <c r="V276" s="656" t="str">
        <f>+VLOOKUP($L276,Data_Validation!$A:$D,4,0)</f>
        <v>Salaires en absences</v>
      </c>
      <c r="W276" s="656" t="str">
        <f>+VLOOKUP($L276,Data_Validation!$A:$E,5,0)</f>
        <v>$</v>
      </c>
      <c r="X276" s="656">
        <f>+VLOOKUP($L276,Data_Validation!$A:$F,6,0)</f>
        <v>0</v>
      </c>
    </row>
    <row r="277" spans="1:24" ht="15" customHeight="1">
      <c r="A277" s="1329" t="s">
        <v>1179</v>
      </c>
      <c r="B277" s="1329" t="s">
        <v>2362</v>
      </c>
      <c r="C277" s="1331">
        <v>1702.18</v>
      </c>
      <c r="D277" s="1331">
        <v>910.52</v>
      </c>
      <c r="E277" s="1331">
        <v>2612.6999999999998</v>
      </c>
      <c r="F277" s="1329" t="s">
        <v>1154</v>
      </c>
      <c r="G277" s="1329" t="s">
        <v>1180</v>
      </c>
      <c r="H277" s="1329" t="s">
        <v>3942</v>
      </c>
      <c r="I277" s="652"/>
      <c r="J277" s="652"/>
      <c r="K277" s="652"/>
      <c r="L277" s="653" t="str">
        <f t="shared" si="176"/>
        <v>6231</v>
      </c>
      <c r="M277" s="654" t="str">
        <f t="shared" si="177"/>
        <v>CSST</v>
      </c>
      <c r="N277" s="655">
        <f>+IF(OR($Q277=Parametres!$G$2,$Q277=Parametres!$G$3),I277,C277)</f>
        <v>1702.18</v>
      </c>
      <c r="O277" s="655">
        <f>+IF(OR($Q277=Parametres!$G$2,$Q277=Parametres!$G$3),J277,D277)</f>
        <v>910.52</v>
      </c>
      <c r="P277" s="655">
        <f>+IF(OR($Q277=Parametres!$G$2,$Q277=Parametres!$G$3),K277,E277)</f>
        <v>2612.6999999999998</v>
      </c>
      <c r="Q277" s="654" t="str">
        <f t="shared" si="178"/>
        <v>7-Dépenses</v>
      </c>
      <c r="R277" s="653" t="str">
        <f t="shared" si="179"/>
        <v>6131</v>
      </c>
      <c r="S277" s="654" t="str">
        <f t="shared" si="180"/>
        <v>_</v>
      </c>
      <c r="T277" s="656" t="str">
        <f>+VLOOKUP($L277,Data_Validation!$A:$D,1,0)</f>
        <v>6231</v>
      </c>
      <c r="U277" s="656" t="str">
        <f>+VLOOKUP($L277,Data_Validation!$A:$D,3,0)</f>
        <v>Véhicules usagés</v>
      </c>
      <c r="V277" s="656" t="str">
        <f>+VLOOKUP($L277,Data_Validation!$A:$D,4,0)</f>
        <v>Csst</v>
      </c>
      <c r="W277" s="656" t="str">
        <f>+VLOOKUP($L277,Data_Validation!$A:$E,5,0)</f>
        <v>$</v>
      </c>
      <c r="X277" s="656">
        <f>+VLOOKUP($L277,Data_Validation!$A:$F,6,0)</f>
        <v>0</v>
      </c>
    </row>
    <row r="278" spans="1:24" ht="15" customHeight="1">
      <c r="A278" s="1329" t="s">
        <v>1181</v>
      </c>
      <c r="B278" s="1329" t="s">
        <v>2365</v>
      </c>
      <c r="C278" s="1331">
        <v>10922.04</v>
      </c>
      <c r="D278" s="1331">
        <v>6910.33</v>
      </c>
      <c r="E278" s="1331">
        <v>17832.37</v>
      </c>
      <c r="F278" s="1329" t="s">
        <v>1154</v>
      </c>
      <c r="G278" s="1329" t="s">
        <v>1182</v>
      </c>
      <c r="H278" s="1329" t="s">
        <v>3942</v>
      </c>
      <c r="I278" s="670"/>
      <c r="J278" s="651"/>
      <c r="K278" s="670"/>
      <c r="L278" s="653" t="str">
        <f t="shared" si="176"/>
        <v>6232</v>
      </c>
      <c r="M278" s="654" t="str">
        <f t="shared" si="177"/>
        <v>RRQ RAMQ AC</v>
      </c>
      <c r="N278" s="655">
        <f>+IF(OR($Q278=Parametres!$G$2,$Q278=Parametres!$G$3),I278,C278)</f>
        <v>10922.04</v>
      </c>
      <c r="O278" s="659">
        <f>+IF(OR($Q278=Parametres!$G$2,$Q278=Parametres!$G$3),J278,D278)</f>
        <v>6910.33</v>
      </c>
      <c r="P278" s="655">
        <f>+IF(OR($Q278=Parametres!$G$2,$Q278=Parametres!$G$3),K278,E278)</f>
        <v>17832.37</v>
      </c>
      <c r="Q278" s="654" t="str">
        <f t="shared" si="178"/>
        <v>7-Dépenses</v>
      </c>
      <c r="R278" s="653" t="str">
        <f t="shared" si="179"/>
        <v>6132</v>
      </c>
      <c r="S278" s="654" t="str">
        <f t="shared" si="180"/>
        <v>_</v>
      </c>
      <c r="T278" s="656" t="str">
        <f>+VLOOKUP($L278,Data_Validation!$A:$D,1,0)</f>
        <v>6232</v>
      </c>
      <c r="U278" s="656" t="str">
        <f>+VLOOKUP($L278,Data_Validation!$A:$D,3,0)</f>
        <v>Véhicules usagés</v>
      </c>
      <c r="V278" s="656" t="str">
        <f>+VLOOKUP($L278,Data_Validation!$A:$D,4,0)</f>
        <v>Déduction à la source</v>
      </c>
      <c r="W278" s="656" t="str">
        <f>+VLOOKUP($L278,Data_Validation!$A:$E,5,0)</f>
        <v>$</v>
      </c>
      <c r="X278" s="656">
        <f>+VLOOKUP($L278,Data_Validation!$A:$F,6,0)</f>
        <v>0</v>
      </c>
    </row>
    <row r="279" spans="1:24" ht="15.75" customHeight="1">
      <c r="A279" s="1329" t="s">
        <v>1230</v>
      </c>
      <c r="B279" s="1329" t="s">
        <v>3389</v>
      </c>
      <c r="C279" s="1331">
        <v>3310.72</v>
      </c>
      <c r="D279" s="1331">
        <v>2470.0300000000002</v>
      </c>
      <c r="E279" s="1331">
        <v>5780.75</v>
      </c>
      <c r="F279" s="1329" t="s">
        <v>1154</v>
      </c>
      <c r="G279" s="1329" t="s">
        <v>1184</v>
      </c>
      <c r="H279" s="1329" t="s">
        <v>3942</v>
      </c>
      <c r="I279" s="652"/>
      <c r="J279" s="652"/>
      <c r="K279" s="652"/>
      <c r="L279" s="653" t="str">
        <f t="shared" si="176"/>
        <v>6233</v>
      </c>
      <c r="M279" s="654" t="str">
        <f t="shared" si="177"/>
        <v>FOND PENSION - USAGE</v>
      </c>
      <c r="N279" s="655">
        <f>+IF(OR($Q279=Parametres!$G$2,$Q279=Parametres!$G$3),I279,C279)</f>
        <v>3310.72</v>
      </c>
      <c r="O279" s="659">
        <f>+IF(OR($Q279=Parametres!$G$2,$Q279=Parametres!$G$3),J279,D279)</f>
        <v>2470.0300000000002</v>
      </c>
      <c r="P279" s="655">
        <f>+IF(OR($Q279=Parametres!$G$2,$Q279=Parametres!$G$3),K279,E279)</f>
        <v>5780.75</v>
      </c>
      <c r="Q279" s="654" t="str">
        <f t="shared" si="178"/>
        <v>7-Dépenses</v>
      </c>
      <c r="R279" s="653" t="str">
        <f t="shared" si="179"/>
        <v>6133</v>
      </c>
      <c r="S279" s="654" t="str">
        <f t="shared" si="180"/>
        <v>_</v>
      </c>
      <c r="T279" s="656" t="str">
        <f>+VLOOKUP($L279,Data_Validation!$A:$D,1,0)</f>
        <v>6233</v>
      </c>
      <c r="U279" s="656" t="str">
        <f>+VLOOKUP($L279,Data_Validation!$A:$D,3,0)</f>
        <v>Véhicules usagés</v>
      </c>
      <c r="V279" s="656" t="str">
        <f>+VLOOKUP($L279,Data_Validation!$A:$D,4,0)</f>
        <v>Bénéfices marginaux</v>
      </c>
      <c r="W279" s="656" t="str">
        <f>+VLOOKUP($L279,Data_Validation!$A:$E,5,0)</f>
        <v>$</v>
      </c>
      <c r="X279" s="656">
        <f>+VLOOKUP($L279,Data_Validation!$A:$F,6,0)</f>
        <v>0</v>
      </c>
    </row>
    <row r="280" spans="1:24" ht="15" customHeight="1">
      <c r="A280" s="1329" t="s">
        <v>1231</v>
      </c>
      <c r="B280" s="1329" t="s">
        <v>2368</v>
      </c>
      <c r="C280" s="1331">
        <v>1284.22</v>
      </c>
      <c r="D280" s="1331">
        <v>1345.27</v>
      </c>
      <c r="E280" s="1331">
        <v>2629.49</v>
      </c>
      <c r="F280" s="1329" t="s">
        <v>1154</v>
      </c>
      <c r="G280" s="1329" t="s">
        <v>1186</v>
      </c>
      <c r="H280" s="1329" t="s">
        <v>3942</v>
      </c>
      <c r="I280" s="652"/>
      <c r="J280" s="652"/>
      <c r="K280" s="652"/>
      <c r="L280" s="653" t="str">
        <f t="shared" si="176"/>
        <v>6239</v>
      </c>
      <c r="M280" s="654" t="str">
        <f t="shared" si="177"/>
        <v>ASSURANCE GROUPE</v>
      </c>
      <c r="N280" s="655">
        <f>+IF(OR($Q280=Parametres!$G$2,$Q280=Parametres!$G$3),I280,C280)</f>
        <v>1284.22</v>
      </c>
      <c r="O280" s="655">
        <f>+IF(OR($Q280=Parametres!$G$2,$Q280=Parametres!$G$3),J280,D280)</f>
        <v>1345.27</v>
      </c>
      <c r="P280" s="655">
        <f>+IF(OR($Q280=Parametres!$G$2,$Q280=Parametres!$G$3),K280,E280)</f>
        <v>2629.49</v>
      </c>
      <c r="Q280" s="654" t="str">
        <f t="shared" si="178"/>
        <v>7-Dépenses</v>
      </c>
      <c r="R280" s="653" t="str">
        <f t="shared" si="179"/>
        <v>6139</v>
      </c>
      <c r="S280" s="654" t="str">
        <f t="shared" si="180"/>
        <v>_</v>
      </c>
      <c r="T280" s="656" t="str">
        <f>+VLOOKUP($L280,Data_Validation!$A:$D,1,0)</f>
        <v>6239</v>
      </c>
      <c r="U280" s="656" t="str">
        <f>+VLOOKUP($L280,Data_Validation!$A:$D,3,0)</f>
        <v>Véhicules usagés</v>
      </c>
      <c r="V280" s="656" t="str">
        <f>+VLOOKUP($L280,Data_Validation!$A:$D,4,0)</f>
        <v>Bénéfices marginaux</v>
      </c>
      <c r="W280" s="656" t="str">
        <f>+VLOOKUP($L280,Data_Validation!$A:$E,5,0)</f>
        <v>$</v>
      </c>
      <c r="X280" s="656">
        <f>+VLOOKUP($L280,Data_Validation!$A:$F,6,0)</f>
        <v>0</v>
      </c>
    </row>
    <row r="281" spans="1:24" ht="15" customHeight="1">
      <c r="A281" s="1329" t="s">
        <v>1191</v>
      </c>
      <c r="B281" s="1329" t="s">
        <v>2379</v>
      </c>
      <c r="C281" s="1331">
        <v>538.28</v>
      </c>
      <c r="D281" s="1331">
        <v>254.89</v>
      </c>
      <c r="E281" s="1331">
        <v>793.17</v>
      </c>
      <c r="F281" s="1329" t="s">
        <v>1154</v>
      </c>
      <c r="G281" s="1329" t="s">
        <v>1192</v>
      </c>
      <c r="H281" s="1329" t="s">
        <v>3942</v>
      </c>
      <c r="I281" s="670"/>
      <c r="J281" s="660"/>
      <c r="K281" s="670"/>
      <c r="L281" s="653" t="str">
        <f t="shared" si="176"/>
        <v>6244</v>
      </c>
      <c r="M281" s="668" t="str">
        <f t="shared" si="177"/>
        <v>FORMATION</v>
      </c>
      <c r="N281" s="655">
        <f>+IF(OR($Q281=Parametres!$G$2,$Q281=Parametres!$G$3),I281,C281)</f>
        <v>538.28</v>
      </c>
      <c r="O281" s="659">
        <f>+IF(OR($Q281=Parametres!$G$2,$Q281=Parametres!$G$3),J281,D281)</f>
        <v>254.89</v>
      </c>
      <c r="P281" s="669">
        <f>+IF(OR($Q281=Parametres!$G$2,$Q281=Parametres!$G$3),K281,E281)</f>
        <v>793.17</v>
      </c>
      <c r="Q281" s="654" t="str">
        <f t="shared" si="178"/>
        <v>7-Dépenses</v>
      </c>
      <c r="R281" s="653" t="str">
        <f t="shared" si="179"/>
        <v>6144</v>
      </c>
      <c r="S281" s="654" t="str">
        <f t="shared" si="180"/>
        <v>_</v>
      </c>
      <c r="T281" s="656" t="str">
        <f>+VLOOKUP($L281,Data_Validation!$A:$D,1,0)</f>
        <v>6244</v>
      </c>
      <c r="U281" s="656" t="str">
        <f>+VLOOKUP($L281,Data_Validation!$A:$D,3,0)</f>
        <v>Véhicules usagés</v>
      </c>
      <c r="V281" s="656" t="str">
        <f>+VLOOKUP($L281,Data_Validation!$A:$D,4,0)</f>
        <v>Formation</v>
      </c>
      <c r="W281" s="656" t="str">
        <f>+VLOOKUP($L281,Data_Validation!$A:$E,5,0)</f>
        <v>$</v>
      </c>
      <c r="X281" s="656">
        <f>+VLOOKUP($L281,Data_Validation!$A:$F,6,0)</f>
        <v>0</v>
      </c>
    </row>
    <row r="282" spans="1:24" ht="15" customHeight="1">
      <c r="A282" s="1329" t="s">
        <v>1193</v>
      </c>
      <c r="B282" s="1329" t="s">
        <v>2382</v>
      </c>
      <c r="C282" s="1331">
        <v>1862.92</v>
      </c>
      <c r="D282" s="1331">
        <v>1563.48</v>
      </c>
      <c r="E282" s="1331">
        <v>3426.4</v>
      </c>
      <c r="F282" s="1329" t="s">
        <v>1154</v>
      </c>
      <c r="G282" s="1329" t="s">
        <v>1194</v>
      </c>
      <c r="H282" s="1329" t="s">
        <v>3942</v>
      </c>
      <c r="I282" s="652"/>
      <c r="J282" s="652"/>
      <c r="K282" s="652"/>
      <c r="L282" s="653" t="str">
        <f t="shared" si="176"/>
        <v>6245</v>
      </c>
      <c r="M282" s="654" t="str">
        <f t="shared" si="177"/>
        <v>VEHICULE DE COMPAGNIE - DEPENS</v>
      </c>
      <c r="N282" s="655">
        <f>+IF(OR($Q282=Parametres!$G$2,$Q282=Parametres!$G$3),I282,C282)</f>
        <v>1862.92</v>
      </c>
      <c r="O282" s="655">
        <f>+IF(OR($Q282=Parametres!$G$2,$Q282=Parametres!$G$3),J282,D282)</f>
        <v>1563.48</v>
      </c>
      <c r="P282" s="655">
        <f>+IF(OR($Q282=Parametres!$G$2,$Q282=Parametres!$G$3),K282,E282)</f>
        <v>3426.4</v>
      </c>
      <c r="Q282" s="654" t="str">
        <f t="shared" si="178"/>
        <v>7-Dépenses</v>
      </c>
      <c r="R282" s="653" t="str">
        <f t="shared" si="179"/>
        <v>6145</v>
      </c>
      <c r="S282" s="654" t="str">
        <f t="shared" si="180"/>
        <v>_</v>
      </c>
      <c r="T282" s="656" t="str">
        <f>+VLOOKUP($L282,Data_Validation!$A:$D,1,0)</f>
        <v>6245</v>
      </c>
      <c r="U282" s="656" t="str">
        <f>+VLOOKUP($L282,Data_Validation!$A:$D,3,0)</f>
        <v>Véhicules usagés</v>
      </c>
      <c r="V282" s="656" t="str">
        <f>+VLOOKUP($L282,Data_Validation!$A:$D,4,0)</f>
        <v>Frais véhicules de cie</v>
      </c>
      <c r="W282" s="656" t="str">
        <f>+VLOOKUP($L282,Data_Validation!$A:$E,5,0)</f>
        <v>$</v>
      </c>
      <c r="X282" s="656">
        <f>+VLOOKUP($L282,Data_Validation!$A:$F,6,0)</f>
        <v>0</v>
      </c>
    </row>
    <row r="283" spans="1:24" ht="15.75" customHeight="1">
      <c r="A283" s="1329" t="s">
        <v>1195</v>
      </c>
      <c r="B283" s="1329" t="s">
        <v>2385</v>
      </c>
      <c r="C283" s="1331">
        <v>94.72</v>
      </c>
      <c r="D283" s="1331">
        <v>245.66</v>
      </c>
      <c r="E283" s="1331">
        <v>340.38</v>
      </c>
      <c r="F283" s="1329" t="s">
        <v>1154</v>
      </c>
      <c r="G283" s="1329" t="s">
        <v>1196</v>
      </c>
      <c r="H283" s="1329" t="s">
        <v>3942</v>
      </c>
      <c r="I283" s="663"/>
      <c r="J283" s="663"/>
      <c r="K283" s="663"/>
      <c r="L283" s="653" t="str">
        <f t="shared" si="176"/>
        <v>6247</v>
      </c>
      <c r="M283" s="654" t="str">
        <f t="shared" si="177"/>
        <v>FRET/EXPRESS/TRANS. PAR CAMION</v>
      </c>
      <c r="N283" s="655">
        <f>+IF(OR($Q283=Parametres!$G$2,$Q283=Parametres!$G$3),I283,C283)</f>
        <v>94.72</v>
      </c>
      <c r="O283" s="655">
        <f>+IF(OR($Q283=Parametres!$G$2,$Q283=Parametres!$G$3),J283,D283)</f>
        <v>245.66</v>
      </c>
      <c r="P283" s="655">
        <f>+IF(OR($Q283=Parametres!$G$2,$Q283=Parametres!$G$3),K283,E283)</f>
        <v>340.38</v>
      </c>
      <c r="Q283" s="654" t="str">
        <f t="shared" si="178"/>
        <v>7-Dépenses</v>
      </c>
      <c r="R283" s="653" t="str">
        <f t="shared" si="179"/>
        <v>6147</v>
      </c>
      <c r="S283" s="654" t="str">
        <f t="shared" si="180"/>
        <v>_</v>
      </c>
      <c r="T283" s="656" t="str">
        <f>+VLOOKUP($L283,Data_Validation!$A:$D,1,0)</f>
        <v>6247</v>
      </c>
      <c r="U283" s="656" t="str">
        <f>+VLOOKUP($L283,Data_Validation!$A:$D,3,0)</f>
        <v>Véhicules usagés</v>
      </c>
      <c r="V283" s="656" t="str">
        <f>+VLOOKUP($L283,Data_Validation!$A:$D,4,0)</f>
        <v>Frais postaux</v>
      </c>
      <c r="W283" s="656" t="str">
        <f>+VLOOKUP($L283,Data_Validation!$A:$E,5,0)</f>
        <v>$</v>
      </c>
      <c r="X283" s="656">
        <f>+VLOOKUP($L283,Data_Validation!$A:$F,6,0)</f>
        <v>0</v>
      </c>
    </row>
    <row r="284" spans="1:24" ht="15" customHeight="1">
      <c r="A284" s="1329" t="s">
        <v>1197</v>
      </c>
      <c r="B284" s="1329" t="s">
        <v>2388</v>
      </c>
      <c r="C284" s="1331">
        <v>4147.8</v>
      </c>
      <c r="D284" s="1331">
        <v>4160.26</v>
      </c>
      <c r="E284" s="1331">
        <v>8308.06</v>
      </c>
      <c r="F284" s="1329" t="s">
        <v>1154</v>
      </c>
      <c r="G284" s="1329" t="s">
        <v>1198</v>
      </c>
      <c r="H284" s="1329" t="s">
        <v>3942</v>
      </c>
      <c r="I284" s="651"/>
      <c r="J284" s="651"/>
      <c r="K284" s="670"/>
      <c r="L284" s="653" t="str">
        <f t="shared" si="176"/>
        <v>6251</v>
      </c>
      <c r="M284" s="654" t="str">
        <f t="shared" si="177"/>
        <v>DEP. DU TRAITEMENT DES DONNEES</v>
      </c>
      <c r="N284" s="655">
        <f>+IF(OR($Q284=Parametres!$G$2,$Q284=Parametres!$G$3),I284,C284)</f>
        <v>4147.8</v>
      </c>
      <c r="O284" s="659">
        <f>+IF(OR($Q284=Parametres!$G$2,$Q284=Parametres!$G$3),J284,D284)</f>
        <v>4160.26</v>
      </c>
      <c r="P284" s="655">
        <f>+IF(OR($Q284=Parametres!$G$2,$Q284=Parametres!$G$3),K284,E284)</f>
        <v>8308.06</v>
      </c>
      <c r="Q284" s="654" t="str">
        <f t="shared" si="178"/>
        <v>7-Dépenses</v>
      </c>
      <c r="R284" s="653" t="str">
        <f t="shared" si="179"/>
        <v>6151</v>
      </c>
      <c r="S284" s="654" t="str">
        <f t="shared" si="180"/>
        <v>_</v>
      </c>
      <c r="T284" s="656" t="str">
        <f>+VLOOKUP($L284,Data_Validation!$A:$D,1,0)</f>
        <v>6251</v>
      </c>
      <c r="U284" s="656" t="str">
        <f>+VLOOKUP($L284,Data_Validation!$A:$D,3,0)</f>
        <v>Véhicules usagés</v>
      </c>
      <c r="V284" s="656" t="str">
        <f>+VLOOKUP($L284,Data_Validation!$A:$D,4,0)</f>
        <v>Informatique</v>
      </c>
      <c r="W284" s="656" t="str">
        <f>+VLOOKUP($L284,Data_Validation!$A:$E,5,0)</f>
        <v>$</v>
      </c>
      <c r="X284" s="656">
        <f>+VLOOKUP($L284,Data_Validation!$A:$F,6,0)</f>
        <v>0</v>
      </c>
    </row>
    <row r="285" spans="1:24" ht="15" customHeight="1">
      <c r="A285" s="1329" t="s">
        <v>1199</v>
      </c>
      <c r="B285" s="1329" t="s">
        <v>2391</v>
      </c>
      <c r="C285" s="1331">
        <v>709.78</v>
      </c>
      <c r="D285" s="1331">
        <v>747.73</v>
      </c>
      <c r="E285" s="1331">
        <v>1457.51</v>
      </c>
      <c r="F285" s="1329" t="s">
        <v>1154</v>
      </c>
      <c r="G285" s="1329" t="s">
        <v>1200</v>
      </c>
      <c r="H285" s="1329" t="s">
        <v>3942</v>
      </c>
      <c r="I285" s="652"/>
      <c r="J285" s="652"/>
      <c r="K285" s="652"/>
      <c r="L285" s="653" t="str">
        <f t="shared" si="176"/>
        <v>6252</v>
      </c>
      <c r="M285" s="654" t="str">
        <f t="shared" si="177"/>
        <v>PAPETERIE</v>
      </c>
      <c r="N285" s="655">
        <f>+IF(OR($Q285=Parametres!$G$2,$Q285=Parametres!$G$3),I285,C285)</f>
        <v>709.78</v>
      </c>
      <c r="O285" s="655">
        <f>+IF(OR($Q285=Parametres!$G$2,$Q285=Parametres!$G$3),J285,D285)</f>
        <v>747.73</v>
      </c>
      <c r="P285" s="655">
        <f>+IF(OR($Q285=Parametres!$G$2,$Q285=Parametres!$G$3),K285,E285)</f>
        <v>1457.51</v>
      </c>
      <c r="Q285" s="654" t="str">
        <f t="shared" si="178"/>
        <v>7-Dépenses</v>
      </c>
      <c r="R285" s="653" t="str">
        <f t="shared" si="179"/>
        <v>6152</v>
      </c>
      <c r="S285" s="654" t="str">
        <f t="shared" si="180"/>
        <v>_</v>
      </c>
      <c r="T285" s="656" t="str">
        <f>+VLOOKUP($L285,Data_Validation!$A:$D,1,0)</f>
        <v>6252</v>
      </c>
      <c r="U285" s="656" t="str">
        <f>+VLOOKUP($L285,Data_Validation!$A:$D,3,0)</f>
        <v>Véhicules usagés</v>
      </c>
      <c r="V285" s="656" t="str">
        <f>+VLOOKUP($L285,Data_Validation!$A:$D,4,0)</f>
        <v>Papeterie</v>
      </c>
      <c r="W285" s="656" t="str">
        <f>+VLOOKUP($L285,Data_Validation!$A:$E,5,0)</f>
        <v>$</v>
      </c>
      <c r="X285" s="656">
        <f>+VLOOKUP($L285,Data_Validation!$A:$F,6,0)</f>
        <v>0</v>
      </c>
    </row>
    <row r="286" spans="1:24" ht="15" customHeight="1">
      <c r="A286" s="1329" t="s">
        <v>1201</v>
      </c>
      <c r="B286" s="1329" t="s">
        <v>2394</v>
      </c>
      <c r="C286" s="1331">
        <v>168.71</v>
      </c>
      <c r="D286" s="1331">
        <v>97.12</v>
      </c>
      <c r="E286" s="1331">
        <v>265.83</v>
      </c>
      <c r="F286" s="1329" t="s">
        <v>1154</v>
      </c>
      <c r="G286" s="1329" t="s">
        <v>1202</v>
      </c>
      <c r="H286" s="1329" t="s">
        <v>3942</v>
      </c>
      <c r="I286" s="652"/>
      <c r="J286" s="652"/>
      <c r="K286" s="652"/>
      <c r="L286" s="653" t="str">
        <f t="shared" si="176"/>
        <v>6253</v>
      </c>
      <c r="M286" s="654" t="str">
        <f t="shared" si="177"/>
        <v>TELEPHONE ET TELEX</v>
      </c>
      <c r="N286" s="655">
        <f>+IF(OR($Q286=Parametres!$G$2,$Q286=Parametres!$G$3),I286,C286)</f>
        <v>168.71</v>
      </c>
      <c r="O286" s="659">
        <f>+IF(OR($Q286=Parametres!$G$2,$Q286=Parametres!$G$3),J286,D286)</f>
        <v>97.12</v>
      </c>
      <c r="P286" s="655">
        <f>+IF(OR($Q286=Parametres!$G$2,$Q286=Parametres!$G$3),K286,E286)</f>
        <v>265.83</v>
      </c>
      <c r="Q286" s="654" t="str">
        <f t="shared" si="178"/>
        <v>7-Dépenses</v>
      </c>
      <c r="R286" s="653" t="str">
        <f t="shared" si="179"/>
        <v>6153</v>
      </c>
      <c r="S286" s="654" t="str">
        <f t="shared" si="180"/>
        <v>_</v>
      </c>
      <c r="T286" s="656" t="str">
        <f>+VLOOKUP($L286,Data_Validation!$A:$D,1,0)</f>
        <v>6253</v>
      </c>
      <c r="U286" s="656" t="str">
        <f>+VLOOKUP($L286,Data_Validation!$A:$D,3,0)</f>
        <v>Véhicules usagés</v>
      </c>
      <c r="V286" s="656" t="str">
        <f>+VLOOKUP($L286,Data_Validation!$A:$D,4,0)</f>
        <v>Téléphone</v>
      </c>
      <c r="W286" s="656" t="str">
        <f>+VLOOKUP($L286,Data_Validation!$A:$E,5,0)</f>
        <v>$</v>
      </c>
      <c r="X286" s="656">
        <f>+VLOOKUP($L286,Data_Validation!$A:$F,6,0)</f>
        <v>0</v>
      </c>
    </row>
    <row r="287" spans="1:24" ht="15.75" customHeight="1">
      <c r="A287" s="1329" t="s">
        <v>1203</v>
      </c>
      <c r="B287" s="1329" t="s">
        <v>2397</v>
      </c>
      <c r="C287" s="1331">
        <v>193.34</v>
      </c>
      <c r="D287" s="1331">
        <v>13.13</v>
      </c>
      <c r="E287" s="1331">
        <v>206.47</v>
      </c>
      <c r="F287" s="1329" t="s">
        <v>1154</v>
      </c>
      <c r="G287" s="1329" t="s">
        <v>1204</v>
      </c>
      <c r="H287" s="1329" t="s">
        <v>3942</v>
      </c>
      <c r="I287" s="652"/>
      <c r="J287" s="652"/>
      <c r="K287" s="652"/>
      <c r="L287" s="653" t="str">
        <f t="shared" si="176"/>
        <v>6255</v>
      </c>
      <c r="M287" s="654" t="str">
        <f t="shared" si="177"/>
        <v>DEPENSES DIVERS</v>
      </c>
      <c r="N287" s="655">
        <f>+IF(OR($Q287=Parametres!$G$2,$Q287=Parametres!$G$3),I287,C287)</f>
        <v>193.34</v>
      </c>
      <c r="O287" s="655">
        <f>+IF(OR($Q287=Parametres!$G$2,$Q287=Parametres!$G$3),J287,D287)</f>
        <v>13.13</v>
      </c>
      <c r="P287" s="655">
        <f>+IF(OR($Q287=Parametres!$G$2,$Q287=Parametres!$G$3),K287,E287)</f>
        <v>206.47</v>
      </c>
      <c r="Q287" s="654" t="str">
        <f t="shared" si="178"/>
        <v>7-Dépenses</v>
      </c>
      <c r="R287" s="653" t="str">
        <f t="shared" si="179"/>
        <v>6155</v>
      </c>
      <c r="S287" s="654" t="str">
        <f t="shared" si="180"/>
        <v>_</v>
      </c>
      <c r="T287" s="656" t="str">
        <f>+VLOOKUP($L287,Data_Validation!$A:$D,1,0)</f>
        <v>6255</v>
      </c>
      <c r="U287" s="656" t="str">
        <f>+VLOOKUP($L287,Data_Validation!$A:$D,3,0)</f>
        <v>Véhicules usagés</v>
      </c>
      <c r="V287" s="656" t="str">
        <f>+VLOOKUP($L287,Data_Validation!$A:$D,4,0)</f>
        <v>Divers</v>
      </c>
      <c r="W287" s="656" t="str">
        <f>+VLOOKUP($L287,Data_Validation!$A:$E,5,0)</f>
        <v>$</v>
      </c>
      <c r="X287" s="656">
        <f>+VLOOKUP($L287,Data_Validation!$A:$F,6,0)</f>
        <v>0</v>
      </c>
    </row>
    <row r="288" spans="1:24" ht="15" customHeight="1">
      <c r="A288" s="1329" t="s">
        <v>1232</v>
      </c>
      <c r="B288" s="1329" t="s">
        <v>2400</v>
      </c>
      <c r="C288" s="1331">
        <v>161.16999999999999</v>
      </c>
      <c r="D288" s="1331">
        <v>229.88</v>
      </c>
      <c r="E288" s="1331">
        <v>391.05</v>
      </c>
      <c r="F288" s="1329" t="s">
        <v>1154</v>
      </c>
      <c r="G288" s="1329" t="s">
        <v>1206</v>
      </c>
      <c r="H288" s="1329" t="s">
        <v>3942</v>
      </c>
      <c r="I288" s="663"/>
      <c r="J288" s="663"/>
      <c r="K288" s="663"/>
      <c r="L288" s="653" t="str">
        <f t="shared" si="176"/>
        <v>6256</v>
      </c>
      <c r="M288" s="654" t="str">
        <f t="shared" si="177"/>
        <v>FRAIS REPRESENTATION - USAGE</v>
      </c>
      <c r="N288" s="655">
        <f>+IF(OR($Q288=Parametres!$G$2,$Q288=Parametres!$G$3),I288,C288)</f>
        <v>161.16999999999999</v>
      </c>
      <c r="O288" s="655">
        <f>+IF(OR($Q288=Parametres!$G$2,$Q288=Parametres!$G$3),J288,D288)</f>
        <v>229.88</v>
      </c>
      <c r="P288" s="655">
        <f>+IF(OR($Q288=Parametres!$G$2,$Q288=Parametres!$G$3),K288,E288)</f>
        <v>391.05</v>
      </c>
      <c r="Q288" s="654" t="str">
        <f t="shared" si="178"/>
        <v>7-Dépenses</v>
      </c>
      <c r="R288" s="653" t="str">
        <f t="shared" si="179"/>
        <v>6156</v>
      </c>
      <c r="S288" s="654" t="str">
        <f t="shared" si="180"/>
        <v>_</v>
      </c>
      <c r="T288" s="656" t="str">
        <f>+VLOOKUP($L288,Data_Validation!$A:$D,1,0)</f>
        <v>6256</v>
      </c>
      <c r="U288" s="656" t="str">
        <f>+VLOOKUP($L288,Data_Validation!$A:$D,3,0)</f>
        <v>Véhicules usagés</v>
      </c>
      <c r="V288" s="656" t="str">
        <f>+VLOOKUP($L288,Data_Validation!$A:$D,4,0)</f>
        <v>Frais de déplacement</v>
      </c>
      <c r="W288" s="656" t="str">
        <f>+VLOOKUP($L288,Data_Validation!$A:$E,5,0)</f>
        <v>$</v>
      </c>
      <c r="X288" s="656">
        <f>+VLOOKUP($L288,Data_Validation!$A:$F,6,0)</f>
        <v>0</v>
      </c>
    </row>
    <row r="289" spans="1:24" ht="15" customHeight="1">
      <c r="A289" s="1329" t="s">
        <v>1233</v>
      </c>
      <c r="B289" s="1329" t="s">
        <v>3390</v>
      </c>
      <c r="C289" s="1331">
        <v>734.08</v>
      </c>
      <c r="D289" s="1331">
        <v>1348.42</v>
      </c>
      <c r="E289" s="1331">
        <v>2082.5</v>
      </c>
      <c r="F289" s="1329" t="s">
        <v>1154</v>
      </c>
      <c r="G289" s="1329" t="s">
        <v>1234</v>
      </c>
      <c r="H289" s="1329" t="s">
        <v>3942</v>
      </c>
      <c r="I289" s="670"/>
      <c r="J289" s="651"/>
      <c r="K289" s="670"/>
      <c r="L289" s="653" t="str">
        <f t="shared" si="176"/>
        <v>6257</v>
      </c>
      <c r="M289" s="654" t="str">
        <f t="shared" si="177"/>
        <v>FRAIS BANCAIRES - USAGE</v>
      </c>
      <c r="N289" s="655">
        <f>+IF(OR($Q289=Parametres!$G$2,$Q289=Parametres!$G$3),I289,C289)</f>
        <v>734.08</v>
      </c>
      <c r="O289" s="655">
        <f>+IF(OR($Q289=Parametres!$G$2,$Q289=Parametres!$G$3),J289,D289)</f>
        <v>1348.42</v>
      </c>
      <c r="P289" s="655">
        <f>+IF(OR($Q289=Parametres!$G$2,$Q289=Parametres!$G$3),K289,E289)</f>
        <v>2082.5</v>
      </c>
      <c r="Q289" s="654" t="str">
        <f t="shared" si="178"/>
        <v>7-Dépenses</v>
      </c>
      <c r="R289" s="653" t="str">
        <f t="shared" si="179"/>
        <v>625</v>
      </c>
      <c r="S289" s="654" t="str">
        <f t="shared" si="180"/>
        <v>_</v>
      </c>
      <c r="T289" s="656" t="str">
        <f>+VLOOKUP($L289,Data_Validation!$A:$D,1,0)</f>
        <v>6257</v>
      </c>
      <c r="U289" s="656" t="str">
        <f>+VLOOKUP($L289,Data_Validation!$A:$D,3,0)</f>
        <v>Véhicules usagés</v>
      </c>
      <c r="V289" s="656" t="str">
        <f>+VLOOKUP($L289,Data_Validation!$A:$D,4,0)</f>
        <v>Frais bancaires</v>
      </c>
      <c r="W289" s="656" t="str">
        <f>+VLOOKUP($L289,Data_Validation!$A:$E,5,0)</f>
        <v>$</v>
      </c>
      <c r="X289" s="656">
        <f>+VLOOKUP($L289,Data_Validation!$A:$F,6,0)</f>
        <v>0</v>
      </c>
    </row>
    <row r="290" spans="1:24" ht="15" customHeight="1">
      <c r="A290" s="1329" t="s">
        <v>1209</v>
      </c>
      <c r="B290" s="1329" t="s">
        <v>2403</v>
      </c>
      <c r="C290" s="1331">
        <v>2123.6</v>
      </c>
      <c r="D290" s="1331">
        <v>1479.64</v>
      </c>
      <c r="E290" s="1331">
        <v>3603.24</v>
      </c>
      <c r="F290" s="1329" t="s">
        <v>1154</v>
      </c>
      <c r="G290" s="1329" t="s">
        <v>1210</v>
      </c>
      <c r="H290" s="1329" t="s">
        <v>3942</v>
      </c>
      <c r="I290" s="652"/>
      <c r="J290" s="652"/>
      <c r="K290" s="652"/>
      <c r="L290" s="653" t="str">
        <f t="shared" si="176"/>
        <v>6259</v>
      </c>
      <c r="M290" s="654" t="str">
        <f t="shared" si="177"/>
        <v>SERVICE EXTERIEUR</v>
      </c>
      <c r="N290" s="655">
        <f>+IF(OR($Q290=Parametres!$G$2,$Q290=Parametres!$G$3),I290,C290)</f>
        <v>2123.6</v>
      </c>
      <c r="O290" s="655">
        <f>+IF(OR($Q290=Parametres!$G$2,$Q290=Parametres!$G$3),J290,D290)</f>
        <v>1479.64</v>
      </c>
      <c r="P290" s="655">
        <f>+IF(OR($Q290=Parametres!$G$2,$Q290=Parametres!$G$3),K290,E290)</f>
        <v>3603.24</v>
      </c>
      <c r="Q290" s="654" t="str">
        <f t="shared" si="178"/>
        <v>7-Dépenses</v>
      </c>
      <c r="R290" s="653" t="str">
        <f t="shared" si="179"/>
        <v>6159</v>
      </c>
      <c r="S290" s="654" t="str">
        <f t="shared" si="180"/>
        <v>_</v>
      </c>
      <c r="T290" s="656" t="str">
        <f>+VLOOKUP($L290,Data_Validation!$A:$D,1,0)</f>
        <v>6259</v>
      </c>
      <c r="U290" s="656" t="str">
        <f>+VLOOKUP($L290,Data_Validation!$A:$D,3,0)</f>
        <v>Véhicules usagés</v>
      </c>
      <c r="V290" s="656" t="str">
        <f>+VLOOKUP($L290,Data_Validation!$A:$D,4,0)</f>
        <v>Services extérieurs</v>
      </c>
      <c r="W290" s="656" t="str">
        <f>+VLOOKUP($L290,Data_Validation!$A:$E,5,0)</f>
        <v>$</v>
      </c>
      <c r="X290" s="656">
        <f>+VLOOKUP($L290,Data_Validation!$A:$F,6,0)</f>
        <v>0</v>
      </c>
    </row>
    <row r="291" spans="1:24" ht="15.75" customHeight="1">
      <c r="A291" s="1329" t="s">
        <v>1211</v>
      </c>
      <c r="B291" s="1329" t="s">
        <v>2406</v>
      </c>
      <c r="C291" s="1331">
        <v>1142.04</v>
      </c>
      <c r="D291" s="1331">
        <v>1142.04</v>
      </c>
      <c r="E291" s="1331">
        <v>2284.08</v>
      </c>
      <c r="F291" s="1329" t="s">
        <v>1154</v>
      </c>
      <c r="G291" s="1329" t="s">
        <v>1212</v>
      </c>
      <c r="H291" s="1329" t="s">
        <v>3942</v>
      </c>
      <c r="I291" s="651"/>
      <c r="J291" s="651"/>
      <c r="K291" s="670"/>
      <c r="L291" s="653" t="str">
        <f t="shared" si="176"/>
        <v>6261</v>
      </c>
      <c r="M291" s="654" t="str">
        <f t="shared" si="177"/>
        <v>DEPRECIATION EQUIP. &amp; FIXTURES</v>
      </c>
      <c r="N291" s="655">
        <f>+IF(OR($Q291=Parametres!$G$2,$Q291=Parametres!$G$3),I291,C291)</f>
        <v>1142.04</v>
      </c>
      <c r="O291" s="659">
        <f>+IF(OR($Q291=Parametres!$G$2,$Q291=Parametres!$G$3),J291,D291)</f>
        <v>1142.04</v>
      </c>
      <c r="P291" s="655">
        <f>+IF(OR($Q291=Parametres!$G$2,$Q291=Parametres!$G$3),K291,E291)</f>
        <v>2284.08</v>
      </c>
      <c r="Q291" s="654" t="str">
        <f t="shared" si="178"/>
        <v>7-Dépenses</v>
      </c>
      <c r="R291" s="653" t="str">
        <f t="shared" si="179"/>
        <v>6161</v>
      </c>
      <c r="S291" s="654" t="str">
        <f t="shared" si="180"/>
        <v>_</v>
      </c>
      <c r="T291" s="656" t="str">
        <f>+VLOOKUP($L291,Data_Validation!$A:$D,1,0)</f>
        <v>6261</v>
      </c>
      <c r="U291" s="656" t="str">
        <f>+VLOOKUP($L291,Data_Validation!$A:$D,3,0)</f>
        <v>Véhicules usagés</v>
      </c>
      <c r="V291" s="656" t="str">
        <f>+VLOOKUP($L291,Data_Validation!$A:$D,4,0)</f>
        <v>Amortissement</v>
      </c>
      <c r="W291" s="656" t="str">
        <f>+VLOOKUP($L291,Data_Validation!$A:$E,5,0)</f>
        <v>$</v>
      </c>
      <c r="X291" s="656">
        <f>+VLOOKUP($L291,Data_Validation!$A:$F,6,0)</f>
        <v>0</v>
      </c>
    </row>
    <row r="292" spans="1:24" ht="15" customHeight="1">
      <c r="A292" s="1329" t="s">
        <v>1235</v>
      </c>
      <c r="B292" s="1329" t="s">
        <v>2412</v>
      </c>
      <c r="C292" s="1331">
        <v>4194.55</v>
      </c>
      <c r="D292" s="1331">
        <v>3854.53</v>
      </c>
      <c r="E292" s="1331">
        <v>8049.08</v>
      </c>
      <c r="F292" s="1329" t="s">
        <v>1154</v>
      </c>
      <c r="G292" s="1329" t="s">
        <v>1214</v>
      </c>
      <c r="H292" s="1329" t="s">
        <v>3942</v>
      </c>
      <c r="I292" s="652"/>
      <c r="J292" s="652"/>
      <c r="K292" s="652"/>
      <c r="L292" s="653" t="str">
        <f t="shared" si="176"/>
        <v>6281</v>
      </c>
      <c r="M292" s="654" t="str">
        <f t="shared" si="177"/>
        <v>CHAUFFAGE,ELECTRICITE,EAU-USAGE</v>
      </c>
      <c r="N292" s="655">
        <f>+IF(OR($Q292=Parametres!$G$2,$Q292=Parametres!$G$3),I292,C292)</f>
        <v>4194.55</v>
      </c>
      <c r="O292" s="655">
        <f>+IF(OR($Q292=Parametres!$G$2,$Q292=Parametres!$G$3),J292,D292)</f>
        <v>3854.53</v>
      </c>
      <c r="P292" s="655">
        <f>+IF(OR($Q292=Parametres!$G$2,$Q292=Parametres!$G$3),K292,E292)</f>
        <v>8049.08</v>
      </c>
      <c r="Q292" s="654" t="str">
        <f t="shared" si="178"/>
        <v>7-Dépenses</v>
      </c>
      <c r="R292" s="653" t="str">
        <f t="shared" si="179"/>
        <v>6181</v>
      </c>
      <c r="S292" s="654" t="str">
        <f t="shared" si="180"/>
        <v>_</v>
      </c>
      <c r="T292" s="656" t="str">
        <f>+VLOOKUP($L292,Data_Validation!$A:$D,1,0)</f>
        <v>6281</v>
      </c>
      <c r="U292" s="656" t="str">
        <f>+VLOOKUP($L292,Data_Validation!$A:$D,3,0)</f>
        <v>Véhicules usagés</v>
      </c>
      <c r="V292" s="656" t="str">
        <f>+VLOOKUP($L292,Data_Validation!$A:$D,4,0)</f>
        <v>Chauffage, éclairage</v>
      </c>
      <c r="W292" s="656" t="str">
        <f>+VLOOKUP($L292,Data_Validation!$A:$E,5,0)</f>
        <v>$</v>
      </c>
      <c r="X292" s="656">
        <f>+VLOOKUP($L292,Data_Validation!$A:$F,6,0)</f>
        <v>0</v>
      </c>
    </row>
    <row r="293" spans="1:24" ht="15" customHeight="1">
      <c r="A293" s="1329" t="s">
        <v>1236</v>
      </c>
      <c r="B293" s="1329" t="s">
        <v>2415</v>
      </c>
      <c r="C293" s="1331">
        <v>5520</v>
      </c>
      <c r="D293" s="1331">
        <v>9540</v>
      </c>
      <c r="E293" s="1331">
        <v>15060</v>
      </c>
      <c r="F293" s="1329" t="s">
        <v>1154</v>
      </c>
      <c r="G293" s="1329" t="s">
        <v>1216</v>
      </c>
      <c r="H293" s="1329" t="s">
        <v>3942</v>
      </c>
      <c r="I293" s="651"/>
      <c r="J293" s="651"/>
      <c r="K293" s="651"/>
      <c r="L293" s="653" t="str">
        <f t="shared" si="176"/>
        <v>6282</v>
      </c>
      <c r="M293" s="654" t="str">
        <f t="shared" si="177"/>
        <v>LOYER - USAGE</v>
      </c>
      <c r="N293" s="655">
        <f>+IF(OR($Q293=Parametres!$G$2,$Q293=Parametres!$G$3),I293,C293)</f>
        <v>5520</v>
      </c>
      <c r="O293" s="655">
        <f>+IF(OR($Q293=Parametres!$G$2,$Q293=Parametres!$G$3),J293,D293)</f>
        <v>9540</v>
      </c>
      <c r="P293" s="655">
        <f>+IF(OR($Q293=Parametres!$G$2,$Q293=Parametres!$G$3),K293,E293)</f>
        <v>15060</v>
      </c>
      <c r="Q293" s="654" t="str">
        <f t="shared" si="178"/>
        <v>7-Dépenses</v>
      </c>
      <c r="R293" s="653" t="str">
        <f t="shared" si="179"/>
        <v>6182</v>
      </c>
      <c r="S293" s="654" t="str">
        <f t="shared" si="180"/>
        <v>_</v>
      </c>
      <c r="T293" s="656" t="str">
        <f>+VLOOKUP($L293,Data_Validation!$A:$D,1,0)</f>
        <v>6282</v>
      </c>
      <c r="U293" s="656" t="str">
        <f>+VLOOKUP($L293,Data_Validation!$A:$D,3,0)</f>
        <v>Véhicules usagés</v>
      </c>
      <c r="V293" s="656" t="str">
        <f>+VLOOKUP($L293,Data_Validation!$A:$D,4,0)</f>
        <v>Loyer</v>
      </c>
      <c r="W293" s="656" t="str">
        <f>+VLOOKUP($L293,Data_Validation!$A:$E,5,0)</f>
        <v>$</v>
      </c>
      <c r="X293" s="656">
        <f>+VLOOKUP($L293,Data_Validation!$A:$F,6,0)</f>
        <v>0</v>
      </c>
    </row>
    <row r="294" spans="1:24" ht="15" customHeight="1">
      <c r="A294" s="1329" t="s">
        <v>1237</v>
      </c>
      <c r="B294" s="1329" t="s">
        <v>2418</v>
      </c>
      <c r="C294" s="1331">
        <v>521.30999999999995</v>
      </c>
      <c r="D294" s="1331">
        <v>427.2</v>
      </c>
      <c r="E294" s="1331">
        <v>948.51</v>
      </c>
      <c r="F294" s="1329" t="s">
        <v>1154</v>
      </c>
      <c r="G294" s="1329" t="s">
        <v>1218</v>
      </c>
      <c r="H294" s="1329" t="s">
        <v>3942</v>
      </c>
      <c r="I294" s="651"/>
      <c r="J294" s="651"/>
      <c r="K294" s="651"/>
      <c r="L294" s="653" t="str">
        <f t="shared" si="176"/>
        <v>6286</v>
      </c>
      <c r="M294" s="654" t="str">
        <f t="shared" si="177"/>
        <v>ASSURANCE BATISSE &amp; AMEL.-USAGE</v>
      </c>
      <c r="N294" s="655">
        <f>+IF(OR($Q294=Parametres!$G$2,$Q294=Parametres!$G$3),I294,C294)</f>
        <v>521.30999999999995</v>
      </c>
      <c r="O294" s="655">
        <f>+IF(OR($Q294=Parametres!$G$2,$Q294=Parametres!$G$3),J294,D294)</f>
        <v>427.2</v>
      </c>
      <c r="P294" s="655">
        <f>+IF(OR($Q294=Parametres!$G$2,$Q294=Parametres!$G$3),K294,E294)</f>
        <v>948.51</v>
      </c>
      <c r="Q294" s="654" t="str">
        <f t="shared" si="178"/>
        <v>7-Dépenses</v>
      </c>
      <c r="R294" s="653" t="str">
        <f t="shared" si="179"/>
        <v>6186</v>
      </c>
      <c r="S294" s="654" t="str">
        <f t="shared" si="180"/>
        <v>_</v>
      </c>
      <c r="T294" s="656" t="str">
        <f>+VLOOKUP($L294,Data_Validation!$A:$D,1,0)</f>
        <v>6286</v>
      </c>
      <c r="U294" s="656" t="str">
        <f>+VLOOKUP($L294,Data_Validation!$A:$D,3,0)</f>
        <v>Véhicules usagés</v>
      </c>
      <c r="V294" s="656" t="str">
        <f>+VLOOKUP($L294,Data_Validation!$A:$D,4,0)</f>
        <v>Assurances</v>
      </c>
      <c r="W294" s="656" t="str">
        <f>+VLOOKUP($L294,Data_Validation!$A:$E,5,0)</f>
        <v>$</v>
      </c>
      <c r="X294" s="656">
        <f>+VLOOKUP($L294,Data_Validation!$A:$F,6,0)</f>
        <v>0</v>
      </c>
    </row>
    <row r="295" spans="1:24" ht="15" customHeight="1">
      <c r="A295" s="1329" t="s">
        <v>1238</v>
      </c>
      <c r="B295" s="1329" t="s">
        <v>2421</v>
      </c>
      <c r="C295" s="1331">
        <v>1980</v>
      </c>
      <c r="D295" s="1331">
        <v>1980</v>
      </c>
      <c r="E295" s="1331">
        <v>3960</v>
      </c>
      <c r="F295" s="1329" t="s">
        <v>1154</v>
      </c>
      <c r="G295" s="1329" t="s">
        <v>1220</v>
      </c>
      <c r="H295" s="1329" t="s">
        <v>3942</v>
      </c>
      <c r="I295" s="663"/>
      <c r="J295" s="663"/>
      <c r="K295" s="663"/>
      <c r="L295" s="653" t="str">
        <f t="shared" si="176"/>
        <v>6287</v>
      </c>
      <c r="M295" s="654" t="str">
        <f t="shared" si="177"/>
        <v>TAXES FONCIERES - USAGE</v>
      </c>
      <c r="N295" s="655">
        <f>+IF(OR($Q295=Parametres!$G$2,$Q295=Parametres!$G$3),I295,C295)</f>
        <v>1980</v>
      </c>
      <c r="O295" s="655">
        <f>+IF(OR($Q295=Parametres!$G$2,$Q295=Parametres!$G$3),J295,D295)</f>
        <v>1980</v>
      </c>
      <c r="P295" s="655">
        <f>+IF(OR($Q295=Parametres!$G$2,$Q295=Parametres!$G$3),K295,E295)</f>
        <v>3960</v>
      </c>
      <c r="Q295" s="654" t="str">
        <f t="shared" si="178"/>
        <v>7-Dépenses</v>
      </c>
      <c r="R295" s="653" t="str">
        <f t="shared" si="179"/>
        <v>6187</v>
      </c>
      <c r="S295" s="654" t="str">
        <f t="shared" si="180"/>
        <v>_</v>
      </c>
      <c r="T295" s="656" t="str">
        <f>+VLOOKUP($L295,Data_Validation!$A:$D,1,0)</f>
        <v>6287</v>
      </c>
      <c r="U295" s="656" t="str">
        <f>+VLOOKUP($L295,Data_Validation!$A:$D,3,0)</f>
        <v>Véhicules usagés</v>
      </c>
      <c r="V295" s="656" t="str">
        <f>+VLOOKUP($L295,Data_Validation!$A:$D,4,0)</f>
        <v>Taxes foncières</v>
      </c>
      <c r="W295" s="656" t="str">
        <f>+VLOOKUP($L295,Data_Validation!$A:$E,5,0)</f>
        <v>$</v>
      </c>
      <c r="X295" s="656">
        <f>+VLOOKUP($L295,Data_Validation!$A:$F,6,0)</f>
        <v>0</v>
      </c>
    </row>
    <row r="296" spans="1:24" ht="15" customHeight="1">
      <c r="A296" s="1329" t="s">
        <v>1239</v>
      </c>
      <c r="B296" s="1329" t="s">
        <v>2424</v>
      </c>
      <c r="C296" s="1331">
        <v>180</v>
      </c>
      <c r="D296" s="1331">
        <v>180</v>
      </c>
      <c r="E296" s="1331">
        <v>360</v>
      </c>
      <c r="F296" s="1329" t="s">
        <v>1154</v>
      </c>
      <c r="G296" s="1329" t="s">
        <v>1222</v>
      </c>
      <c r="H296" s="1329" t="s">
        <v>3942</v>
      </c>
      <c r="I296" s="652"/>
      <c r="J296" s="652"/>
      <c r="K296" s="652"/>
      <c r="L296" s="653" t="str">
        <f t="shared" si="176"/>
        <v>6293</v>
      </c>
      <c r="M296" s="654" t="str">
        <f t="shared" si="177"/>
        <v>AUTRE TAXES - USAGES</v>
      </c>
      <c r="N296" s="655">
        <f>+IF(OR($Q296=Parametres!$G$2,$Q296=Parametres!$G$3),I296,C296)</f>
        <v>180</v>
      </c>
      <c r="O296" s="655">
        <f>+IF(OR($Q296=Parametres!$G$2,$Q296=Parametres!$G$3),J296,D296)</f>
        <v>180</v>
      </c>
      <c r="P296" s="655">
        <f>+IF(OR($Q296=Parametres!$G$2,$Q296=Parametres!$G$3),K296,E296)</f>
        <v>360</v>
      </c>
      <c r="Q296" s="654" t="str">
        <f t="shared" si="178"/>
        <v>7-Dépenses</v>
      </c>
      <c r="R296" s="653" t="str">
        <f t="shared" si="179"/>
        <v>6193</v>
      </c>
      <c r="S296" s="654" t="str">
        <f t="shared" si="180"/>
        <v>_</v>
      </c>
      <c r="T296" s="656" t="str">
        <f>+VLOOKUP($L296,Data_Validation!$A:$D,1,0)</f>
        <v>6293</v>
      </c>
      <c r="U296" s="656" t="str">
        <f>+VLOOKUP($L296,Data_Validation!$A:$D,3,0)</f>
        <v>Véhicules usagés</v>
      </c>
      <c r="V296" s="656" t="str">
        <f>+VLOOKUP($L296,Data_Validation!$A:$D,4,0)</f>
        <v>Taxes d`affaires</v>
      </c>
      <c r="W296" s="656" t="str">
        <f>+VLOOKUP($L296,Data_Validation!$A:$E,5,0)</f>
        <v>$</v>
      </c>
      <c r="X296" s="656">
        <f>+VLOOKUP($L296,Data_Validation!$A:$F,6,0)</f>
        <v>0</v>
      </c>
    </row>
    <row r="297" spans="1:24" ht="15.75" customHeight="1">
      <c r="A297" s="1329" t="s">
        <v>1240</v>
      </c>
      <c r="B297" s="1329" t="s">
        <v>2427</v>
      </c>
      <c r="C297" s="1331">
        <v>770.8</v>
      </c>
      <c r="D297" s="1331">
        <v>4729.8100000000004</v>
      </c>
      <c r="E297" s="1331">
        <v>5500.61</v>
      </c>
      <c r="F297" s="1329" t="s">
        <v>1154</v>
      </c>
      <c r="G297" s="1329" t="s">
        <v>1224</v>
      </c>
      <c r="H297" s="1329" t="s">
        <v>3942</v>
      </c>
      <c r="I297" s="663"/>
      <c r="J297" s="663"/>
      <c r="K297" s="663"/>
      <c r="L297" s="653" t="str">
        <f t="shared" si="176"/>
        <v>6294</v>
      </c>
      <c r="M297" s="654" t="str">
        <f t="shared" si="177"/>
        <v>FRAIS PROFESSIONNEL-USAGE</v>
      </c>
      <c r="N297" s="655">
        <f>+IF(OR($Q297=Parametres!$G$2,$Q297=Parametres!$G$3),I297,C297)</f>
        <v>770.8</v>
      </c>
      <c r="O297" s="655">
        <f>+IF(OR($Q297=Parametres!$G$2,$Q297=Parametres!$G$3),J297,D297)</f>
        <v>4729.8100000000004</v>
      </c>
      <c r="P297" s="655">
        <f>+IF(OR($Q297=Parametres!$G$2,$Q297=Parametres!$G$3),K297,E297)</f>
        <v>5500.61</v>
      </c>
      <c r="Q297" s="654" t="str">
        <f t="shared" si="178"/>
        <v>7-Dépenses</v>
      </c>
      <c r="R297" s="653" t="str">
        <f t="shared" si="179"/>
        <v>6194</v>
      </c>
      <c r="S297" s="654" t="str">
        <f t="shared" si="180"/>
        <v>_</v>
      </c>
      <c r="T297" s="656" t="str">
        <f>+VLOOKUP($L297,Data_Validation!$A:$D,1,0)</f>
        <v>6294</v>
      </c>
      <c r="U297" s="656" t="str">
        <f>+VLOOKUP($L297,Data_Validation!$A:$D,3,0)</f>
        <v>Véhicules usagés</v>
      </c>
      <c r="V297" s="656" t="str">
        <f>+VLOOKUP($L297,Data_Validation!$A:$D,4,0)</f>
        <v>Honoraires</v>
      </c>
      <c r="W297" s="656" t="str">
        <f>+VLOOKUP($L297,Data_Validation!$A:$E,5,0)</f>
        <v>$</v>
      </c>
      <c r="X297" s="656">
        <f>+VLOOKUP($L297,Data_Validation!$A:$F,6,0)</f>
        <v>0</v>
      </c>
    </row>
    <row r="298" spans="1:24" ht="15" customHeight="1">
      <c r="A298" s="1329" t="s">
        <v>1241</v>
      </c>
      <c r="B298" s="1329" t="s">
        <v>2430</v>
      </c>
      <c r="C298" s="1331">
        <v>2367.3000000000002</v>
      </c>
      <c r="D298" s="1331">
        <v>2122.63</v>
      </c>
      <c r="E298" s="1331">
        <v>4489.93</v>
      </c>
      <c r="F298" s="1329" t="s">
        <v>1154</v>
      </c>
      <c r="G298" s="1329" t="s">
        <v>1242</v>
      </c>
      <c r="H298" s="1329" t="s">
        <v>3942</v>
      </c>
      <c r="I298" s="651"/>
      <c r="J298" s="651"/>
      <c r="K298" s="651"/>
      <c r="L298" s="653" t="str">
        <f t="shared" si="176"/>
        <v>6403</v>
      </c>
      <c r="M298" s="654" t="str">
        <f t="shared" si="177"/>
        <v>RELAT. A LA CLIENTELE &amp; AJUST</v>
      </c>
      <c r="N298" s="655">
        <f>+IF(OR($Q298=Parametres!$G$2,$Q298=Parametres!$G$3),I298,C298)</f>
        <v>2367.3000000000002</v>
      </c>
      <c r="O298" s="655">
        <f>+IF(OR($Q298=Parametres!$G$2,$Q298=Parametres!$G$3),J298,D298)</f>
        <v>2122.63</v>
      </c>
      <c r="P298" s="655">
        <f>+IF(OR($Q298=Parametres!$G$2,$Q298=Parametres!$G$3),K298,E298)</f>
        <v>4489.93</v>
      </c>
      <c r="Q298" s="654" t="str">
        <f t="shared" si="178"/>
        <v>7-Dépenses</v>
      </c>
      <c r="R298" s="653" t="str">
        <f t="shared" si="179"/>
        <v>6112</v>
      </c>
      <c r="S298" s="654" t="str">
        <f t="shared" si="180"/>
        <v>_</v>
      </c>
      <c r="T298" s="656" t="str">
        <f>+VLOOKUP($L298,Data_Validation!$A:$D,1,0)</f>
        <v>6403</v>
      </c>
      <c r="U298" s="656" t="str">
        <f>+VLOOKUP($L298,Data_Validation!$A:$D,3,0)</f>
        <v>Service</v>
      </c>
      <c r="V298" s="656" t="str">
        <f>+VLOOKUP($L298,Data_Validation!$A:$D,4,0)</f>
        <v>Service gratuit 2</v>
      </c>
      <c r="W298" s="656" t="str">
        <f>+VLOOKUP($L298,Data_Validation!$A:$E,5,0)</f>
        <v>$</v>
      </c>
      <c r="X298" s="656">
        <f>+VLOOKUP($L298,Data_Validation!$A:$F,6,0)</f>
        <v>0</v>
      </c>
    </row>
    <row r="299" spans="1:24" ht="15" customHeight="1">
      <c r="A299" s="1329" t="s">
        <v>1243</v>
      </c>
      <c r="B299" s="1329" t="s">
        <v>2433</v>
      </c>
      <c r="C299" s="1331">
        <v>39.93</v>
      </c>
      <c r="D299" s="1331">
        <v>214.02</v>
      </c>
      <c r="E299" s="1331">
        <v>253.95</v>
      </c>
      <c r="F299" s="1329" t="s">
        <v>1154</v>
      </c>
      <c r="G299" s="1329" t="s">
        <v>1242</v>
      </c>
      <c r="H299" s="1329" t="s">
        <v>3942</v>
      </c>
      <c r="I299" s="651"/>
      <c r="J299" s="651"/>
      <c r="K299" s="651"/>
      <c r="L299" s="653" t="str">
        <f t="shared" si="176"/>
        <v>6412</v>
      </c>
      <c r="M299" s="654" t="str">
        <f t="shared" si="177"/>
        <v>AUTORISATION &amp; GAR./VEH. USA</v>
      </c>
      <c r="N299" s="655">
        <f>+IF(OR($Q299=Parametres!$G$2,$Q299=Parametres!$G$3),I299,C299)</f>
        <v>39.93</v>
      </c>
      <c r="O299" s="655">
        <f>+IF(OR($Q299=Parametres!$G$2,$Q299=Parametres!$G$3),J299,D299)</f>
        <v>214.02</v>
      </c>
      <c r="P299" s="655">
        <f>+IF(OR($Q299=Parametres!$G$2,$Q299=Parametres!$G$3),K299,E299)</f>
        <v>253.95</v>
      </c>
      <c r="Q299" s="654" t="str">
        <f t="shared" si="178"/>
        <v>7-Dépenses</v>
      </c>
      <c r="R299" s="653" t="str">
        <f t="shared" si="179"/>
        <v>6112</v>
      </c>
      <c r="S299" s="654" t="str">
        <f t="shared" si="180"/>
        <v>_</v>
      </c>
      <c r="T299" s="656" t="str">
        <f>+VLOOKUP($L299,Data_Validation!$A:$D,1,0)</f>
        <v>6412</v>
      </c>
      <c r="U299" s="656" t="str">
        <f>+VLOOKUP($L299,Data_Validation!$A:$D,3,0)</f>
        <v>Service</v>
      </c>
      <c r="V299" s="656" t="str">
        <f>+VLOOKUP($L299,Data_Validation!$A:$D,4,0)</f>
        <v>Service gratuit 2</v>
      </c>
      <c r="W299" s="656" t="str">
        <f>+VLOOKUP($L299,Data_Validation!$A:$E,5,0)</f>
        <v>$</v>
      </c>
      <c r="X299" s="656">
        <f>+VLOOKUP($L299,Data_Validation!$A:$F,6,0)</f>
        <v>0</v>
      </c>
    </row>
    <row r="300" spans="1:24" ht="15" customHeight="1">
      <c r="A300" s="1329" t="s">
        <v>1166</v>
      </c>
      <c r="B300" s="1329" t="s">
        <v>2436</v>
      </c>
      <c r="C300" s="1331">
        <v>11721.1</v>
      </c>
      <c r="D300" s="1331">
        <v>2352.9299999999998</v>
      </c>
      <c r="E300" s="1331">
        <v>14074.03</v>
      </c>
      <c r="F300" s="1329" t="s">
        <v>1154</v>
      </c>
      <c r="G300" s="1329" t="s">
        <v>1167</v>
      </c>
      <c r="H300" s="1329" t="s">
        <v>3942</v>
      </c>
      <c r="I300" s="651"/>
      <c r="J300" s="651"/>
      <c r="K300" s="670"/>
      <c r="L300" s="653" t="str">
        <f t="shared" si="176"/>
        <v>6414</v>
      </c>
      <c r="M300" s="654" t="str">
        <f t="shared" si="177"/>
        <v>PUBLICITE</v>
      </c>
      <c r="N300" s="655">
        <f>+IF(OR($Q300=Parametres!$G$2,$Q300=Parametres!$G$3),I300,C300)</f>
        <v>11721.1</v>
      </c>
      <c r="O300" s="655">
        <f>+IF(OR($Q300=Parametres!$G$2,$Q300=Parametres!$G$3),J300,D300)</f>
        <v>2352.9299999999998</v>
      </c>
      <c r="P300" s="655">
        <f>+IF(OR($Q300=Parametres!$G$2,$Q300=Parametres!$G$3),K300,E300)</f>
        <v>14074.03</v>
      </c>
      <c r="Q300" s="654" t="str">
        <f t="shared" si="178"/>
        <v>7-Dépenses</v>
      </c>
      <c r="R300" s="653" t="str">
        <f t="shared" si="179"/>
        <v>6114</v>
      </c>
      <c r="S300" s="654" t="str">
        <f t="shared" si="180"/>
        <v>_</v>
      </c>
      <c r="T300" s="656" t="str">
        <f>+VLOOKUP($L300,Data_Validation!$A:$D,1,0)</f>
        <v>6414</v>
      </c>
      <c r="U300" s="656" t="str">
        <f>+VLOOKUP($L300,Data_Validation!$A:$D,3,0)</f>
        <v>Service</v>
      </c>
      <c r="V300" s="656" t="str">
        <f>+VLOOKUP($L300,Data_Validation!$A:$D,4,0)</f>
        <v>Publicité 2</v>
      </c>
      <c r="W300" s="656" t="str">
        <f>+VLOOKUP($L300,Data_Validation!$A:$E,5,0)</f>
        <v>$</v>
      </c>
      <c r="X300" s="656">
        <f>+VLOOKUP($L300,Data_Validation!$A:$F,6,0)</f>
        <v>0</v>
      </c>
    </row>
    <row r="301" spans="1:24" ht="15.75" customHeight="1">
      <c r="A301" s="1329" t="s">
        <v>3961</v>
      </c>
      <c r="B301" s="1329" t="s">
        <v>2439</v>
      </c>
      <c r="C301" s="1331">
        <v>3029.1</v>
      </c>
      <c r="D301" s="1331">
        <v>2848.68</v>
      </c>
      <c r="E301" s="1331">
        <v>5877.78</v>
      </c>
      <c r="F301" s="1329" t="s">
        <v>1154</v>
      </c>
      <c r="G301" s="1329" t="s">
        <v>1170</v>
      </c>
      <c r="H301" s="1329" t="s">
        <v>3942</v>
      </c>
      <c r="I301" s="652"/>
      <c r="J301" s="652"/>
      <c r="K301" s="652"/>
      <c r="L301" s="653" t="str">
        <f t="shared" si="176"/>
        <v>6421</v>
      </c>
      <c r="M301" s="654" t="str">
        <f t="shared" si="177"/>
        <v>SALAIRES - DIRECTION GENERALE</v>
      </c>
      <c r="N301" s="655">
        <f>+IF(OR($Q301=Parametres!$G$2,$Q301=Parametres!$G$3),I301,C301)</f>
        <v>3029.1</v>
      </c>
      <c r="O301" s="655">
        <f>+IF(OR($Q301=Parametres!$G$2,$Q301=Parametres!$G$3),J301,D301)</f>
        <v>2848.68</v>
      </c>
      <c r="P301" s="655">
        <f>+IF(OR($Q301=Parametres!$G$2,$Q301=Parametres!$G$3),K301,E301)</f>
        <v>5877.78</v>
      </c>
      <c r="Q301" s="654" t="str">
        <f t="shared" si="178"/>
        <v>7-Dépenses</v>
      </c>
      <c r="R301" s="653" t="str">
        <f t="shared" si="179"/>
        <v>6121</v>
      </c>
      <c r="S301" s="654" t="str">
        <f t="shared" si="180"/>
        <v>_</v>
      </c>
      <c r="T301" s="656" t="str">
        <f>+VLOOKUP($L301,Data_Validation!$A:$D,1,0)</f>
        <v>6421</v>
      </c>
      <c r="U301" s="656" t="str">
        <f>+VLOOKUP($L301,Data_Validation!$A:$D,3,0)</f>
        <v>Service</v>
      </c>
      <c r="V301" s="656" t="str">
        <f>+VLOOKUP($L301,Data_Validation!$A:$D,4,0)</f>
        <v>Salaires propriétaire</v>
      </c>
      <c r="W301" s="656" t="str">
        <f>+VLOOKUP($L301,Data_Validation!$A:$E,5,0)</f>
        <v>$</v>
      </c>
      <c r="X301" s="656">
        <f>+VLOOKUP($L301,Data_Validation!$A:$F,6,0)</f>
        <v>0</v>
      </c>
    </row>
    <row r="302" spans="1:24" ht="15" customHeight="1">
      <c r="A302" s="1329" t="s">
        <v>1171</v>
      </c>
      <c r="B302" s="1329" t="s">
        <v>2442</v>
      </c>
      <c r="C302" s="1331">
        <v>16090.98</v>
      </c>
      <c r="D302" s="1331">
        <v>12865.59</v>
      </c>
      <c r="E302" s="1331">
        <v>28956.57</v>
      </c>
      <c r="F302" s="1329" t="s">
        <v>1154</v>
      </c>
      <c r="G302" s="1329" t="s">
        <v>1172</v>
      </c>
      <c r="H302" s="1329" t="s">
        <v>3942</v>
      </c>
      <c r="I302" s="663"/>
      <c r="J302" s="663"/>
      <c r="K302" s="663"/>
      <c r="L302" s="653" t="str">
        <f t="shared" si="176"/>
        <v>6422</v>
      </c>
      <c r="M302" s="654" t="str">
        <f t="shared" si="177"/>
        <v>SAL SUPERVISION / GERANT</v>
      </c>
      <c r="N302" s="655">
        <f>+IF(OR($Q302=Parametres!$G$2,$Q302=Parametres!$G$3),I302,C302)</f>
        <v>16090.98</v>
      </c>
      <c r="O302" s="655">
        <f>+IF(OR($Q302=Parametres!$G$2,$Q302=Parametres!$G$3),J302,D302)</f>
        <v>12865.59</v>
      </c>
      <c r="P302" s="655">
        <f>+IF(OR($Q302=Parametres!$G$2,$Q302=Parametres!$G$3),K302,E302)</f>
        <v>28956.57</v>
      </c>
      <c r="Q302" s="654" t="str">
        <f t="shared" si="178"/>
        <v>7-Dépenses</v>
      </c>
      <c r="R302" s="653" t="str">
        <f t="shared" si="179"/>
        <v>6122</v>
      </c>
      <c r="S302" s="654" t="str">
        <f t="shared" si="180"/>
        <v>_</v>
      </c>
      <c r="T302" s="656" t="str">
        <f>+VLOOKUP($L302,Data_Validation!$A:$D,1,0)</f>
        <v>6422</v>
      </c>
      <c r="U302" s="656" t="str">
        <f>+VLOOKUP($L302,Data_Validation!$A:$D,3,0)</f>
        <v>Service</v>
      </c>
      <c r="V302" s="656" t="str">
        <f>+VLOOKUP($L302,Data_Validation!$A:$D,4,0)</f>
        <v>Salaires cadres</v>
      </c>
      <c r="W302" s="656" t="str">
        <f>+VLOOKUP($L302,Data_Validation!$A:$E,5,0)</f>
        <v>$</v>
      </c>
      <c r="X302" s="656">
        <f>+VLOOKUP($L302,Data_Validation!$A:$F,6,0)</f>
        <v>0</v>
      </c>
    </row>
    <row r="303" spans="1:24" ht="15" customHeight="1">
      <c r="A303" s="1329" t="s">
        <v>1244</v>
      </c>
      <c r="B303" s="1329" t="s">
        <v>2445</v>
      </c>
      <c r="C303" s="1331">
        <v>16463.71</v>
      </c>
      <c r="D303" s="1331">
        <v>13299.73</v>
      </c>
      <c r="E303" s="1331">
        <v>29763.439999999999</v>
      </c>
      <c r="F303" s="1329" t="s">
        <v>1154</v>
      </c>
      <c r="G303" s="1329" t="s">
        <v>1174</v>
      </c>
      <c r="H303" s="1329" t="s">
        <v>3942</v>
      </c>
      <c r="I303" s="652"/>
      <c r="J303" s="652"/>
      <c r="K303" s="652"/>
      <c r="L303" s="653" t="str">
        <f t="shared" si="176"/>
        <v>6423</v>
      </c>
      <c r="M303" s="654" t="str">
        <f t="shared" si="177"/>
        <v>SAL. &amp; RENUM. CLERICAL</v>
      </c>
      <c r="N303" s="655">
        <f>+IF(OR($Q303=Parametres!$G$2,$Q303=Parametres!$G$3),I303,C303)</f>
        <v>16463.71</v>
      </c>
      <c r="O303" s="655">
        <f>+IF(OR($Q303=Parametres!$G$2,$Q303=Parametres!$G$3),J303,D303)</f>
        <v>13299.73</v>
      </c>
      <c r="P303" s="655">
        <f>+IF(OR($Q303=Parametres!$G$2,$Q303=Parametres!$G$3),K303,E303)</f>
        <v>29763.439999999999</v>
      </c>
      <c r="Q303" s="654" t="str">
        <f t="shared" si="178"/>
        <v>7-Dépenses</v>
      </c>
      <c r="R303" s="653" t="str">
        <f t="shared" si="179"/>
        <v>6123</v>
      </c>
      <c r="S303" s="654" t="str">
        <f t="shared" si="180"/>
        <v>_</v>
      </c>
      <c r="T303" s="656" t="str">
        <f>+VLOOKUP($L303,Data_Validation!$A:$D,1,0)</f>
        <v>6423</v>
      </c>
      <c r="U303" s="656" t="str">
        <f>+VLOOKUP($L303,Data_Validation!$A:$D,3,0)</f>
        <v>Service</v>
      </c>
      <c r="V303" s="656" t="str">
        <f>+VLOOKUP($L303,Data_Validation!$A:$D,4,0)</f>
        <v>Salaires commis</v>
      </c>
      <c r="W303" s="656" t="str">
        <f>+VLOOKUP($L303,Data_Validation!$A:$E,5,0)</f>
        <v>$</v>
      </c>
      <c r="X303" s="656">
        <f>+VLOOKUP($L303,Data_Validation!$A:$F,6,0)</f>
        <v>0</v>
      </c>
    </row>
    <row r="304" spans="1:24" ht="15" customHeight="1">
      <c r="A304" s="1329" t="s">
        <v>1175</v>
      </c>
      <c r="B304" s="1329" t="s">
        <v>2448</v>
      </c>
      <c r="C304" s="1331">
        <v>18172.09</v>
      </c>
      <c r="D304" s="1331">
        <v>15173.64</v>
      </c>
      <c r="E304" s="1331">
        <v>33345.730000000003</v>
      </c>
      <c r="F304" s="1329" t="s">
        <v>1154</v>
      </c>
      <c r="G304" s="1329" t="s">
        <v>1176</v>
      </c>
      <c r="H304" s="1329" t="s">
        <v>3942</v>
      </c>
      <c r="I304" s="652"/>
      <c r="J304" s="652"/>
      <c r="K304" s="652"/>
      <c r="L304" s="653" t="str">
        <f t="shared" si="176"/>
        <v>6424</v>
      </c>
      <c r="M304" s="654" t="str">
        <f t="shared" si="177"/>
        <v>SALAIRES &amp; RENUM. - AUTRES</v>
      </c>
      <c r="N304" s="655">
        <f>+IF(OR($Q304=Parametres!$G$2,$Q304=Parametres!$G$3),I304,C304)</f>
        <v>18172.09</v>
      </c>
      <c r="O304" s="655">
        <f>+IF(OR($Q304=Parametres!$G$2,$Q304=Parametres!$G$3),J304,D304)</f>
        <v>15173.64</v>
      </c>
      <c r="P304" s="655">
        <f>+IF(OR($Q304=Parametres!$G$2,$Q304=Parametres!$G$3),K304,E304)</f>
        <v>33345.730000000003</v>
      </c>
      <c r="Q304" s="654" t="str">
        <f t="shared" si="178"/>
        <v>7-Dépenses</v>
      </c>
      <c r="R304" s="653" t="str">
        <f t="shared" si="179"/>
        <v>6124</v>
      </c>
      <c r="S304" s="654" t="str">
        <f t="shared" si="180"/>
        <v>_</v>
      </c>
      <c r="T304" s="656" t="str">
        <f>+VLOOKUP($L304,Data_Validation!$A:$D,1,0)</f>
        <v>6424</v>
      </c>
      <c r="U304" s="656" t="str">
        <f>+VLOOKUP($L304,Data_Validation!$A:$D,3,0)</f>
        <v>Service</v>
      </c>
      <c r="V304" s="656" t="str">
        <f>+VLOOKUP($L304,Data_Validation!$A:$D,4,0)</f>
        <v>Salaires autres</v>
      </c>
      <c r="W304" s="656" t="str">
        <f>+VLOOKUP($L304,Data_Validation!$A:$E,5,0)</f>
        <v>$</v>
      </c>
      <c r="X304" s="656">
        <f>+VLOOKUP($L304,Data_Validation!$A:$F,6,0)</f>
        <v>0</v>
      </c>
    </row>
    <row r="305" spans="1:24" ht="15.75" customHeight="1">
      <c r="A305" s="1329" t="s">
        <v>1245</v>
      </c>
      <c r="B305" s="1329" t="s">
        <v>2451</v>
      </c>
      <c r="C305" s="1331">
        <v>18227.55</v>
      </c>
      <c r="D305" s="1331">
        <v>16681.560000000001</v>
      </c>
      <c r="E305" s="1331">
        <v>34909.11</v>
      </c>
      <c r="F305" s="1329" t="s">
        <v>1154</v>
      </c>
      <c r="G305" s="1329" t="s">
        <v>1246</v>
      </c>
      <c r="H305" s="1329" t="s">
        <v>3942</v>
      </c>
      <c r="I305" s="663"/>
      <c r="J305" s="663"/>
      <c r="K305" s="663"/>
      <c r="L305" s="653" t="str">
        <f t="shared" si="176"/>
        <v>6425</v>
      </c>
      <c r="M305" s="654" t="str">
        <f t="shared" si="177"/>
        <v>SALAIRE SPECIALISTES</v>
      </c>
      <c r="N305" s="655">
        <f>+IF(OR($Q305=Parametres!$G$2,$Q305=Parametres!$G$3),I305,C305)</f>
        <v>18227.55</v>
      </c>
      <c r="O305" s="655">
        <f>+IF(OR($Q305=Parametres!$G$2,$Q305=Parametres!$G$3),J305,D305)</f>
        <v>16681.560000000001</v>
      </c>
      <c r="P305" s="655">
        <f>+IF(OR($Q305=Parametres!$G$2,$Q305=Parametres!$G$3),K305,E305)</f>
        <v>34909.11</v>
      </c>
      <c r="Q305" s="654" t="str">
        <f t="shared" si="178"/>
        <v>7-Dépenses</v>
      </c>
      <c r="R305" s="653" t="str">
        <f t="shared" si="179"/>
        <v>6125</v>
      </c>
      <c r="S305" s="654" t="str">
        <f t="shared" si="180"/>
        <v>_</v>
      </c>
      <c r="T305" s="656" t="str">
        <f>+VLOOKUP($L305,Data_Validation!$A:$D,1,0)</f>
        <v>6425</v>
      </c>
      <c r="U305" s="656" t="str">
        <f>+VLOOKUP($L305,Data_Validation!$A:$D,3,0)</f>
        <v>Service</v>
      </c>
      <c r="V305" s="656" t="str">
        <f>+VLOOKUP($L305,Data_Validation!$A:$D,4,0)</f>
        <v>Salaires spécialistes</v>
      </c>
      <c r="W305" s="656" t="str">
        <f>+VLOOKUP($L305,Data_Validation!$A:$E,5,0)</f>
        <v>$</v>
      </c>
      <c r="X305" s="656">
        <f>+VLOOKUP($L305,Data_Validation!$A:$F,6,0)</f>
        <v>0</v>
      </c>
    </row>
    <row r="306" spans="1:24" ht="15" customHeight="1">
      <c r="A306" s="1329" t="s">
        <v>1247</v>
      </c>
      <c r="B306" s="1329" t="s">
        <v>2454</v>
      </c>
      <c r="C306" s="1331">
        <v>38137.96</v>
      </c>
      <c r="D306" s="1331">
        <v>14766.68</v>
      </c>
      <c r="E306" s="1331">
        <v>52904.639999999999</v>
      </c>
      <c r="F306" s="1329" t="s">
        <v>1154</v>
      </c>
      <c r="G306" s="1329" t="s">
        <v>1178</v>
      </c>
      <c r="H306" s="1329" t="s">
        <v>3942</v>
      </c>
      <c r="I306" s="670"/>
      <c r="J306" s="651"/>
      <c r="K306" s="670"/>
      <c r="L306" s="653" t="str">
        <f t="shared" si="176"/>
        <v>6429</v>
      </c>
      <c r="M306" s="654" t="str">
        <f t="shared" si="177"/>
        <v>SAL.,VACANCE, &amp; SAL. JOURS FER</v>
      </c>
      <c r="N306" s="655">
        <f>+IF(OR($Q306=Parametres!$G$2,$Q306=Parametres!$G$3),I306,C306)</f>
        <v>38137.96</v>
      </c>
      <c r="O306" s="659">
        <f>+IF(OR($Q306=Parametres!$G$2,$Q306=Parametres!$G$3),J306,D306)</f>
        <v>14766.68</v>
      </c>
      <c r="P306" s="655">
        <f>+IF(OR($Q306=Parametres!$G$2,$Q306=Parametres!$G$3),K306,E306)</f>
        <v>52904.639999999999</v>
      </c>
      <c r="Q306" s="654" t="str">
        <f t="shared" si="178"/>
        <v>7-Dépenses</v>
      </c>
      <c r="R306" s="653" t="str">
        <f t="shared" si="179"/>
        <v>6129</v>
      </c>
      <c r="S306" s="654" t="str">
        <f t="shared" si="180"/>
        <v>_</v>
      </c>
      <c r="T306" s="656" t="str">
        <f>+VLOOKUP($L306,Data_Validation!$A:$D,1,0)</f>
        <v>6429</v>
      </c>
      <c r="U306" s="656" t="str">
        <f>+VLOOKUP($L306,Data_Validation!$A:$D,3,0)</f>
        <v>Service</v>
      </c>
      <c r="V306" s="656" t="str">
        <f>+VLOOKUP($L306,Data_Validation!$A:$D,4,0)</f>
        <v>Salaires en absences</v>
      </c>
      <c r="W306" s="656" t="str">
        <f>+VLOOKUP($L306,Data_Validation!$A:$E,5,0)</f>
        <v>$</v>
      </c>
      <c r="X306" s="656">
        <f>+VLOOKUP($L306,Data_Validation!$A:$F,6,0)</f>
        <v>0</v>
      </c>
    </row>
    <row r="307" spans="1:24" ht="15" customHeight="1">
      <c r="A307" s="1329" t="s">
        <v>1179</v>
      </c>
      <c r="B307" s="1329" t="s">
        <v>2457</v>
      </c>
      <c r="C307" s="1331">
        <v>4016.4</v>
      </c>
      <c r="D307" s="1331">
        <v>3363.52</v>
      </c>
      <c r="E307" s="1331">
        <v>7379.92</v>
      </c>
      <c r="F307" s="1329" t="s">
        <v>1154</v>
      </c>
      <c r="G307" s="1329" t="s">
        <v>1180</v>
      </c>
      <c r="H307" s="1329" t="s">
        <v>3942</v>
      </c>
      <c r="I307" s="651"/>
      <c r="J307" s="651"/>
      <c r="K307" s="651"/>
      <c r="L307" s="653" t="str">
        <f t="shared" si="176"/>
        <v>6431</v>
      </c>
      <c r="M307" s="654" t="str">
        <f t="shared" si="177"/>
        <v>CSST</v>
      </c>
      <c r="N307" s="655">
        <f>+IF(OR($Q307=Parametres!$G$2,$Q307=Parametres!$G$3),I307,C307)</f>
        <v>4016.4</v>
      </c>
      <c r="O307" s="659">
        <f>+IF(OR($Q307=Parametres!$G$2,$Q307=Parametres!$G$3),J307,D307)</f>
        <v>3363.52</v>
      </c>
      <c r="P307" s="655">
        <f>+IF(OR($Q307=Parametres!$G$2,$Q307=Parametres!$G$3),K307,E307)</f>
        <v>7379.92</v>
      </c>
      <c r="Q307" s="654" t="str">
        <f t="shared" si="178"/>
        <v>7-Dépenses</v>
      </c>
      <c r="R307" s="653" t="str">
        <f t="shared" si="179"/>
        <v>6131</v>
      </c>
      <c r="S307" s="654" t="str">
        <f t="shared" si="180"/>
        <v>_</v>
      </c>
      <c r="T307" s="656" t="str">
        <f>+VLOOKUP($L307,Data_Validation!$A:$D,1,0)</f>
        <v>6431</v>
      </c>
      <c r="U307" s="656" t="str">
        <f>+VLOOKUP($L307,Data_Validation!$A:$D,3,0)</f>
        <v>Service</v>
      </c>
      <c r="V307" s="656" t="str">
        <f>+VLOOKUP($L307,Data_Validation!$A:$D,4,0)</f>
        <v>Csst</v>
      </c>
      <c r="W307" s="656" t="str">
        <f>+VLOOKUP($L307,Data_Validation!$A:$E,5,0)</f>
        <v>$</v>
      </c>
      <c r="X307" s="656">
        <f>+VLOOKUP($L307,Data_Validation!$A:$F,6,0)</f>
        <v>0</v>
      </c>
    </row>
    <row r="308" spans="1:24" ht="15" customHeight="1">
      <c r="A308" s="1329" t="s">
        <v>1181</v>
      </c>
      <c r="B308" s="1329" t="s">
        <v>2460</v>
      </c>
      <c r="C308" s="1331">
        <v>25104.9</v>
      </c>
      <c r="D308" s="1331">
        <v>18048.759999999998</v>
      </c>
      <c r="E308" s="1331">
        <v>43153.66</v>
      </c>
      <c r="F308" s="1329" t="s">
        <v>1154</v>
      </c>
      <c r="G308" s="1329" t="s">
        <v>1182</v>
      </c>
      <c r="H308" s="1329" t="s">
        <v>3942</v>
      </c>
      <c r="I308" s="652"/>
      <c r="J308" s="652"/>
      <c r="K308" s="652"/>
      <c r="L308" s="653" t="str">
        <f t="shared" ref="L308:L364" si="181">TEXT(B308,0)</f>
        <v>6432</v>
      </c>
      <c r="M308" s="654" t="str">
        <f t="shared" ref="M308:M364" si="182">+A308</f>
        <v>RRQ RAMQ AC</v>
      </c>
      <c r="N308" s="655">
        <f>+IF(OR($Q308=Parametres!$G$2,$Q308=Parametres!$G$3),I308,C308)</f>
        <v>25104.9</v>
      </c>
      <c r="O308" s="655">
        <f>+IF(OR($Q308=Parametres!$G$2,$Q308=Parametres!$G$3),J308,D308)</f>
        <v>18048.759999999998</v>
      </c>
      <c r="P308" s="655">
        <f>+IF(OR($Q308=Parametres!$G$2,$Q308=Parametres!$G$3),K308,E308)</f>
        <v>43153.66</v>
      </c>
      <c r="Q308" s="654" t="str">
        <f t="shared" ref="Q308:Q364" si="183">+F308</f>
        <v>7-Dépenses</v>
      </c>
      <c r="R308" s="653" t="str">
        <f t="shared" ref="R308:R364" si="184">+G308</f>
        <v>6132</v>
      </c>
      <c r="S308" s="654" t="str">
        <f t="shared" ref="S308:S364" si="185">+H308</f>
        <v>_</v>
      </c>
      <c r="T308" s="656" t="str">
        <f>+VLOOKUP($L308,Data_Validation!$A:$D,1,0)</f>
        <v>6432</v>
      </c>
      <c r="U308" s="656" t="str">
        <f>+VLOOKUP($L308,Data_Validation!$A:$D,3,0)</f>
        <v>Service</v>
      </c>
      <c r="V308" s="656" t="str">
        <f>+VLOOKUP($L308,Data_Validation!$A:$D,4,0)</f>
        <v>Déduction à la source</v>
      </c>
      <c r="W308" s="656" t="str">
        <f>+VLOOKUP($L308,Data_Validation!$A:$E,5,0)</f>
        <v>$</v>
      </c>
      <c r="X308" s="656">
        <f>+VLOOKUP($L308,Data_Validation!$A:$F,6,0)</f>
        <v>0</v>
      </c>
    </row>
    <row r="309" spans="1:24" ht="15.75" customHeight="1">
      <c r="A309" s="1329" t="s">
        <v>1248</v>
      </c>
      <c r="B309" s="1329" t="s">
        <v>2463</v>
      </c>
      <c r="C309" s="1331">
        <v>7447.73</v>
      </c>
      <c r="D309" s="1331">
        <v>3586.43</v>
      </c>
      <c r="E309" s="1331">
        <v>11034.16</v>
      </c>
      <c r="F309" s="1329" t="s">
        <v>1154</v>
      </c>
      <c r="G309" s="1329" t="s">
        <v>1184</v>
      </c>
      <c r="H309" s="1329" t="s">
        <v>3942</v>
      </c>
      <c r="I309" s="663"/>
      <c r="J309" s="663"/>
      <c r="K309" s="663"/>
      <c r="L309" s="653" t="str">
        <f t="shared" si="181"/>
        <v>6433</v>
      </c>
      <c r="M309" s="654" t="str">
        <f t="shared" si="182"/>
        <v>FOND PENSION - SERVICE</v>
      </c>
      <c r="N309" s="655">
        <f>+IF(OR($Q309=Parametres!$G$2,$Q309=Parametres!$G$3),I309,C309)</f>
        <v>7447.73</v>
      </c>
      <c r="O309" s="655">
        <f>+IF(OR($Q309=Parametres!$G$2,$Q309=Parametres!$G$3),J309,D309)</f>
        <v>3586.43</v>
      </c>
      <c r="P309" s="655">
        <f>+IF(OR($Q309=Parametres!$G$2,$Q309=Parametres!$G$3),K309,E309)</f>
        <v>11034.16</v>
      </c>
      <c r="Q309" s="654" t="str">
        <f t="shared" si="183"/>
        <v>7-Dépenses</v>
      </c>
      <c r="R309" s="653" t="str">
        <f t="shared" si="184"/>
        <v>6133</v>
      </c>
      <c r="S309" s="654" t="str">
        <f t="shared" si="185"/>
        <v>_</v>
      </c>
      <c r="T309" s="656" t="str">
        <f>+VLOOKUP($L309,Data_Validation!$A:$D,1,0)</f>
        <v>6433</v>
      </c>
      <c r="U309" s="656" t="str">
        <f>+VLOOKUP($L309,Data_Validation!$A:$D,3,0)</f>
        <v>Service</v>
      </c>
      <c r="V309" s="656" t="str">
        <f>+VLOOKUP($L309,Data_Validation!$A:$D,4,0)</f>
        <v>Bénéfices marginaux</v>
      </c>
      <c r="W309" s="656" t="str">
        <f>+VLOOKUP($L309,Data_Validation!$A:$E,5,0)</f>
        <v>$</v>
      </c>
      <c r="X309" s="656">
        <f>+VLOOKUP($L309,Data_Validation!$A:$F,6,0)</f>
        <v>0</v>
      </c>
    </row>
    <row r="310" spans="1:24" ht="15" customHeight="1">
      <c r="A310" s="1329" t="s">
        <v>1231</v>
      </c>
      <c r="B310" s="1329" t="s">
        <v>2466</v>
      </c>
      <c r="C310" s="1331">
        <v>6810.09</v>
      </c>
      <c r="D310" s="1331">
        <v>6909.24</v>
      </c>
      <c r="E310" s="1331">
        <v>13719.33</v>
      </c>
      <c r="F310" s="1329" t="s">
        <v>1154</v>
      </c>
      <c r="G310" s="1329" t="s">
        <v>1186</v>
      </c>
      <c r="H310" s="1329" t="s">
        <v>3942</v>
      </c>
      <c r="I310" s="663"/>
      <c r="J310" s="663"/>
      <c r="K310" s="663"/>
      <c r="L310" s="653" t="str">
        <f t="shared" si="181"/>
        <v>6439</v>
      </c>
      <c r="M310" s="654" t="str">
        <f t="shared" si="182"/>
        <v>ASSURANCE GROUPE</v>
      </c>
      <c r="N310" s="655">
        <f>+IF(OR($Q310=Parametres!$G$2,$Q310=Parametres!$G$3),I310,C310)</f>
        <v>6810.09</v>
      </c>
      <c r="O310" s="655">
        <f>+IF(OR($Q310=Parametres!$G$2,$Q310=Parametres!$G$3),J310,D310)</f>
        <v>6909.24</v>
      </c>
      <c r="P310" s="655">
        <f>+IF(OR($Q310=Parametres!$G$2,$Q310=Parametres!$G$3),K310,E310)</f>
        <v>13719.33</v>
      </c>
      <c r="Q310" s="654" t="str">
        <f t="shared" si="183"/>
        <v>7-Dépenses</v>
      </c>
      <c r="R310" s="653" t="str">
        <f t="shared" si="184"/>
        <v>6139</v>
      </c>
      <c r="S310" s="654" t="str">
        <f t="shared" si="185"/>
        <v>_</v>
      </c>
      <c r="T310" s="656" t="str">
        <f>+VLOOKUP($L310,Data_Validation!$A:$D,1,0)</f>
        <v>6439</v>
      </c>
      <c r="U310" s="656" t="str">
        <f>+VLOOKUP($L310,Data_Validation!$A:$D,3,0)</f>
        <v>Service</v>
      </c>
      <c r="V310" s="656" t="str">
        <f>+VLOOKUP($L310,Data_Validation!$A:$D,4,0)</f>
        <v>Bénéfices marginaux</v>
      </c>
      <c r="W310" s="656" t="str">
        <f>+VLOOKUP($L310,Data_Validation!$A:$E,5,0)</f>
        <v>$</v>
      </c>
      <c r="X310" s="656">
        <f>+VLOOKUP($L310,Data_Validation!$A:$F,6,0)</f>
        <v>0</v>
      </c>
    </row>
    <row r="311" spans="1:24" ht="15" customHeight="1">
      <c r="A311" s="1329" t="s">
        <v>1249</v>
      </c>
      <c r="B311" s="1329" t="s">
        <v>2472</v>
      </c>
      <c r="C311" s="1331">
        <v>71.400000000000006</v>
      </c>
      <c r="D311" s="1331">
        <v>332.64</v>
      </c>
      <c r="E311" s="1331">
        <v>404.04</v>
      </c>
      <c r="F311" s="1329" t="s">
        <v>1154</v>
      </c>
      <c r="G311" s="1329" t="s">
        <v>1242</v>
      </c>
      <c r="H311" s="1329" t="s">
        <v>3942</v>
      </c>
      <c r="I311" s="663"/>
      <c r="J311" s="663"/>
      <c r="K311" s="663"/>
      <c r="L311" s="653" t="str">
        <f t="shared" si="181"/>
        <v>6441</v>
      </c>
      <c r="M311" s="654" t="str">
        <f t="shared" si="182"/>
        <v>RETOURS</v>
      </c>
      <c r="N311" s="655">
        <f>+IF(OR($Q311=Parametres!$G$2,$Q311=Parametres!$G$3),I311,C311)</f>
        <v>71.400000000000006</v>
      </c>
      <c r="O311" s="655">
        <f>+IF(OR($Q311=Parametres!$G$2,$Q311=Parametres!$G$3),J311,D311)</f>
        <v>332.64</v>
      </c>
      <c r="P311" s="655">
        <f>+IF(OR($Q311=Parametres!$G$2,$Q311=Parametres!$G$3),K311,E311)</f>
        <v>404.04</v>
      </c>
      <c r="Q311" s="654" t="str">
        <f t="shared" si="183"/>
        <v>7-Dépenses</v>
      </c>
      <c r="R311" s="653" t="str">
        <f t="shared" si="184"/>
        <v>6112</v>
      </c>
      <c r="S311" s="654" t="str">
        <f t="shared" si="185"/>
        <v>_</v>
      </c>
      <c r="T311" s="656" t="str">
        <f>+VLOOKUP($L311,Data_Validation!$A:$D,1,0)</f>
        <v>6441</v>
      </c>
      <c r="U311" s="656" t="str">
        <f>+VLOOKUP($L311,Data_Validation!$A:$D,3,0)</f>
        <v>Service</v>
      </c>
      <c r="V311" s="656" t="str">
        <f>+VLOOKUP($L311,Data_Validation!$A:$D,4,0)</f>
        <v>Service gratuit 2</v>
      </c>
      <c r="W311" s="656" t="str">
        <f>+VLOOKUP($L311,Data_Validation!$A:$E,5,0)</f>
        <v>$</v>
      </c>
      <c r="X311" s="656">
        <f>+VLOOKUP($L311,Data_Validation!$A:$F,6,0)</f>
        <v>0</v>
      </c>
    </row>
    <row r="312" spans="1:24" ht="15" customHeight="1">
      <c r="A312" s="1329" t="s">
        <v>1187</v>
      </c>
      <c r="B312" s="1329" t="s">
        <v>2475</v>
      </c>
      <c r="C312" s="1331">
        <v>14519.74</v>
      </c>
      <c r="D312" s="1331">
        <v>7003.95</v>
      </c>
      <c r="E312" s="1331">
        <v>21523.69</v>
      </c>
      <c r="F312" s="1329" t="s">
        <v>1154</v>
      </c>
      <c r="G312" s="1329" t="s">
        <v>1188</v>
      </c>
      <c r="H312" s="1329" t="s">
        <v>3942</v>
      </c>
      <c r="I312" s="651"/>
      <c r="J312" s="651"/>
      <c r="K312" s="651"/>
      <c r="L312" s="653" t="str">
        <f t="shared" si="181"/>
        <v>6442</v>
      </c>
      <c r="M312" s="654" t="str">
        <f t="shared" si="182"/>
        <v>FOURNITURES &amp; PETITS OUTILS</v>
      </c>
      <c r="N312" s="655">
        <f>+IF(OR($Q312=Parametres!$G$2,$Q312=Parametres!$G$3),I312,C312)</f>
        <v>14519.74</v>
      </c>
      <c r="O312" s="655">
        <f>+IF(OR($Q312=Parametres!$G$2,$Q312=Parametres!$G$3),J312,D312)</f>
        <v>7003.95</v>
      </c>
      <c r="P312" s="655">
        <f>+IF(OR($Q312=Parametres!$G$2,$Q312=Parametres!$G$3),K312,E312)</f>
        <v>21523.69</v>
      </c>
      <c r="Q312" s="654" t="str">
        <f t="shared" si="183"/>
        <v>7-Dépenses</v>
      </c>
      <c r="R312" s="653" t="str">
        <f t="shared" si="184"/>
        <v>6142</v>
      </c>
      <c r="S312" s="654" t="str">
        <f t="shared" si="185"/>
        <v>_</v>
      </c>
      <c r="T312" s="656" t="str">
        <f>+VLOOKUP($L312,Data_Validation!$A:$D,1,0)</f>
        <v>6442</v>
      </c>
      <c r="U312" s="656" t="str">
        <f>+VLOOKUP($L312,Data_Validation!$A:$D,3,0)</f>
        <v>Service</v>
      </c>
      <c r="V312" s="656" t="str">
        <f>+VLOOKUP($L312,Data_Validation!$A:$D,4,0)</f>
        <v>Fournitures autres</v>
      </c>
      <c r="W312" s="656" t="str">
        <f>+VLOOKUP($L312,Data_Validation!$A:$E,5,0)</f>
        <v>$</v>
      </c>
      <c r="X312" s="656">
        <f>+VLOOKUP($L312,Data_Validation!$A:$F,6,0)</f>
        <v>0</v>
      </c>
    </row>
    <row r="313" spans="1:24" ht="15" customHeight="1">
      <c r="A313" s="1329" t="s">
        <v>1189</v>
      </c>
      <c r="B313" s="1329" t="s">
        <v>2478</v>
      </c>
      <c r="C313" s="1331">
        <v>1006.1</v>
      </c>
      <c r="D313" s="1331">
        <v>560.16999999999996</v>
      </c>
      <c r="E313" s="1331">
        <v>1566.27</v>
      </c>
      <c r="F313" s="1329" t="s">
        <v>1154</v>
      </c>
      <c r="G313" s="1329" t="s">
        <v>1190</v>
      </c>
      <c r="H313" s="1329" t="s">
        <v>3942</v>
      </c>
      <c r="I313" s="652"/>
      <c r="J313" s="652"/>
      <c r="K313" s="652"/>
      <c r="L313" s="653" t="str">
        <f t="shared" si="181"/>
        <v>6443</v>
      </c>
      <c r="M313" s="654" t="str">
        <f t="shared" si="182"/>
        <v>UNIFORMES &amp; LESSIVE</v>
      </c>
      <c r="N313" s="655">
        <f>+IF(OR($Q313=Parametres!$G$2,$Q313=Parametres!$G$3),I313,C313)</f>
        <v>1006.1</v>
      </c>
      <c r="O313" s="655">
        <f>+IF(OR($Q313=Parametres!$G$2,$Q313=Parametres!$G$3),J313,D313)</f>
        <v>560.16999999999996</v>
      </c>
      <c r="P313" s="655">
        <f>+IF(OR($Q313=Parametres!$G$2,$Q313=Parametres!$G$3),K313,E313)</f>
        <v>1566.27</v>
      </c>
      <c r="Q313" s="654" t="str">
        <f t="shared" si="183"/>
        <v>7-Dépenses</v>
      </c>
      <c r="R313" s="653" t="str">
        <f t="shared" si="184"/>
        <v>6143</v>
      </c>
      <c r="S313" s="654" t="str">
        <f t="shared" si="185"/>
        <v>_</v>
      </c>
      <c r="T313" s="656" t="str">
        <f>+VLOOKUP($L313,Data_Validation!$A:$D,1,0)</f>
        <v>6443</v>
      </c>
      <c r="U313" s="656" t="str">
        <f>+VLOOKUP($L313,Data_Validation!$A:$D,3,0)</f>
        <v>Service</v>
      </c>
      <c r="V313" s="656" t="str">
        <f>+VLOOKUP($L313,Data_Validation!$A:$D,4,0)</f>
        <v>Uniformes</v>
      </c>
      <c r="W313" s="656" t="str">
        <f>+VLOOKUP($L313,Data_Validation!$A:$E,5,0)</f>
        <v>$</v>
      </c>
      <c r="X313" s="656">
        <f>+VLOOKUP($L313,Data_Validation!$A:$F,6,0)</f>
        <v>0</v>
      </c>
    </row>
    <row r="314" spans="1:24" ht="15" customHeight="1">
      <c r="A314" s="1329" t="s">
        <v>1191</v>
      </c>
      <c r="B314" s="1329" t="s">
        <v>2481</v>
      </c>
      <c r="C314" s="1331">
        <v>620.91</v>
      </c>
      <c r="D314" s="1331">
        <v>638.83000000000004</v>
      </c>
      <c r="E314" s="1331">
        <v>1259.74</v>
      </c>
      <c r="F314" s="1329" t="s">
        <v>1154</v>
      </c>
      <c r="G314" s="1329" t="s">
        <v>1192</v>
      </c>
      <c r="H314" s="1329" t="s">
        <v>3942</v>
      </c>
      <c r="I314" s="651"/>
      <c r="J314" s="651"/>
      <c r="K314" s="651"/>
      <c r="L314" s="653" t="str">
        <f t="shared" si="181"/>
        <v>6444</v>
      </c>
      <c r="M314" s="654" t="str">
        <f t="shared" si="182"/>
        <v>FORMATION</v>
      </c>
      <c r="N314" s="655">
        <f>+IF(OR($Q314=Parametres!$G$2,$Q314=Parametres!$G$3),I314,C314)</f>
        <v>620.91</v>
      </c>
      <c r="O314" s="659">
        <f>+IF(OR($Q314=Parametres!$G$2,$Q314=Parametres!$G$3),J314,D314)</f>
        <v>638.83000000000004</v>
      </c>
      <c r="P314" s="655">
        <f>+IF(OR($Q314=Parametres!$G$2,$Q314=Parametres!$G$3),K314,E314)</f>
        <v>1259.74</v>
      </c>
      <c r="Q314" s="654" t="str">
        <f t="shared" si="183"/>
        <v>7-Dépenses</v>
      </c>
      <c r="R314" s="653" t="str">
        <f t="shared" si="184"/>
        <v>6144</v>
      </c>
      <c r="S314" s="654" t="str">
        <f t="shared" si="185"/>
        <v>_</v>
      </c>
      <c r="T314" s="656" t="str">
        <f>+VLOOKUP($L314,Data_Validation!$A:$D,1,0)</f>
        <v>6444</v>
      </c>
      <c r="U314" s="656" t="str">
        <f>+VLOOKUP($L314,Data_Validation!$A:$D,3,0)</f>
        <v>Service</v>
      </c>
      <c r="V314" s="656" t="str">
        <f>+VLOOKUP($L314,Data_Validation!$A:$D,4,0)</f>
        <v>Formation</v>
      </c>
      <c r="W314" s="656" t="str">
        <f>+VLOOKUP($L314,Data_Validation!$A:$E,5,0)</f>
        <v>$</v>
      </c>
      <c r="X314" s="656">
        <f>+VLOOKUP($L314,Data_Validation!$A:$F,6,0)</f>
        <v>0</v>
      </c>
    </row>
    <row r="315" spans="1:24" ht="15" customHeight="1">
      <c r="A315" s="1329" t="s">
        <v>1250</v>
      </c>
      <c r="B315" s="1329" t="s">
        <v>2484</v>
      </c>
      <c r="C315" s="1331">
        <v>9777.36</v>
      </c>
      <c r="D315" s="1331">
        <v>18328.53</v>
      </c>
      <c r="E315" s="1331">
        <v>28105.89</v>
      </c>
      <c r="F315" s="1329" t="s">
        <v>1154</v>
      </c>
      <c r="G315" s="1329" t="s">
        <v>1194</v>
      </c>
      <c r="H315" s="1329" t="s">
        <v>3942</v>
      </c>
      <c r="I315" s="652"/>
      <c r="J315" s="652"/>
      <c r="K315" s="652"/>
      <c r="L315" s="653" t="str">
        <f t="shared" si="181"/>
        <v>6445</v>
      </c>
      <c r="M315" s="654" t="str">
        <f t="shared" si="182"/>
        <v>LOCATION COURTOISIE</v>
      </c>
      <c r="N315" s="655">
        <f>+IF(OR($Q315=Parametres!$G$2,$Q315=Parametres!$G$3),I315,C315)</f>
        <v>9777.36</v>
      </c>
      <c r="O315" s="655">
        <f>+IF(OR($Q315=Parametres!$G$2,$Q315=Parametres!$G$3),J315,D315)</f>
        <v>18328.53</v>
      </c>
      <c r="P315" s="655">
        <f>+IF(OR($Q315=Parametres!$G$2,$Q315=Parametres!$G$3),K315,E315)</f>
        <v>28105.89</v>
      </c>
      <c r="Q315" s="654" t="str">
        <f t="shared" si="183"/>
        <v>7-Dépenses</v>
      </c>
      <c r="R315" s="653" t="str">
        <f t="shared" si="184"/>
        <v>6145</v>
      </c>
      <c r="S315" s="654" t="str">
        <f t="shared" si="185"/>
        <v>_</v>
      </c>
      <c r="T315" s="656" t="str">
        <f>+VLOOKUP($L315,Data_Validation!$A:$D,1,0)</f>
        <v>6445</v>
      </c>
      <c r="U315" s="656" t="str">
        <f>+VLOOKUP($L315,Data_Validation!$A:$D,3,0)</f>
        <v>Service</v>
      </c>
      <c r="V315" s="656" t="str">
        <f>+VLOOKUP($L315,Data_Validation!$A:$D,4,0)</f>
        <v>Frais véhicules de cie</v>
      </c>
      <c r="W315" s="656" t="str">
        <f>+VLOOKUP($L315,Data_Validation!$A:$E,5,0)</f>
        <v>$</v>
      </c>
      <c r="X315" s="656">
        <f>+VLOOKUP($L315,Data_Validation!$A:$F,6,0)</f>
        <v>0</v>
      </c>
    </row>
    <row r="316" spans="1:24" ht="15" customHeight="1">
      <c r="A316" s="1329" t="s">
        <v>1195</v>
      </c>
      <c r="B316" s="1329" t="s">
        <v>2487</v>
      </c>
      <c r="C316" s="1331">
        <v>271.45</v>
      </c>
      <c r="D316" s="1331">
        <v>327.22000000000003</v>
      </c>
      <c r="E316" s="1331">
        <v>598.66999999999996</v>
      </c>
      <c r="F316" s="1329" t="s">
        <v>1154</v>
      </c>
      <c r="G316" s="1329" t="s">
        <v>1196</v>
      </c>
      <c r="H316" s="1329" t="s">
        <v>3942</v>
      </c>
      <c r="I316" s="651"/>
      <c r="J316" s="651"/>
      <c r="K316" s="651"/>
      <c r="L316" s="653" t="str">
        <f t="shared" si="181"/>
        <v>6447</v>
      </c>
      <c r="M316" s="654" t="str">
        <f t="shared" si="182"/>
        <v>FRET/EXPRESS/TRANS. PAR CAMION</v>
      </c>
      <c r="N316" s="655">
        <f>+IF(OR($Q316=Parametres!$G$2,$Q316=Parametres!$G$3),I316,C316)</f>
        <v>271.45</v>
      </c>
      <c r="O316" s="655">
        <f>+IF(OR($Q316=Parametres!$G$2,$Q316=Parametres!$G$3),J316,D316)</f>
        <v>327.22000000000003</v>
      </c>
      <c r="P316" s="655">
        <f>+IF(OR($Q316=Parametres!$G$2,$Q316=Parametres!$G$3),K316,E316)</f>
        <v>598.66999999999996</v>
      </c>
      <c r="Q316" s="654" t="str">
        <f t="shared" si="183"/>
        <v>7-Dépenses</v>
      </c>
      <c r="R316" s="653" t="str">
        <f t="shared" si="184"/>
        <v>6147</v>
      </c>
      <c r="S316" s="654" t="str">
        <f t="shared" si="185"/>
        <v>_</v>
      </c>
      <c r="T316" s="656" t="str">
        <f>+VLOOKUP($L316,Data_Validation!$A:$D,1,0)</f>
        <v>6447</v>
      </c>
      <c r="U316" s="656" t="str">
        <f>+VLOOKUP($L316,Data_Validation!$A:$D,3,0)</f>
        <v>Service</v>
      </c>
      <c r="V316" s="656" t="str">
        <f>+VLOOKUP($L316,Data_Validation!$A:$D,4,0)</f>
        <v>Frais postaux</v>
      </c>
      <c r="W316" s="656" t="str">
        <f>+VLOOKUP($L316,Data_Validation!$A:$E,5,0)</f>
        <v>$</v>
      </c>
      <c r="X316" s="656">
        <f>+VLOOKUP($L316,Data_Validation!$A:$F,6,0)</f>
        <v>0</v>
      </c>
    </row>
    <row r="317" spans="1:24" ht="15" customHeight="1">
      <c r="A317" s="1329" t="s">
        <v>1197</v>
      </c>
      <c r="B317" s="1329" t="s">
        <v>2490</v>
      </c>
      <c r="C317" s="1331">
        <v>4226.76</v>
      </c>
      <c r="D317" s="1331">
        <v>5296.92</v>
      </c>
      <c r="E317" s="1331">
        <v>9523.68</v>
      </c>
      <c r="F317" s="1329" t="s">
        <v>1154</v>
      </c>
      <c r="G317" s="1329" t="s">
        <v>1198</v>
      </c>
      <c r="H317" s="1329" t="s">
        <v>3942</v>
      </c>
      <c r="I317" s="652"/>
      <c r="J317" s="652"/>
      <c r="K317" s="652"/>
      <c r="L317" s="653" t="str">
        <f t="shared" si="181"/>
        <v>6451</v>
      </c>
      <c r="M317" s="654" t="str">
        <f t="shared" si="182"/>
        <v>DEP. DU TRAITEMENT DES DONNEES</v>
      </c>
      <c r="N317" s="655">
        <f>+IF(OR($Q317=Parametres!$G$2,$Q317=Parametres!$G$3),I317,C317)</f>
        <v>4226.76</v>
      </c>
      <c r="O317" s="659">
        <f>+IF(OR($Q317=Parametres!$G$2,$Q317=Parametres!$G$3),J317,D317)</f>
        <v>5296.92</v>
      </c>
      <c r="P317" s="655">
        <f>+IF(OR($Q317=Parametres!$G$2,$Q317=Parametres!$G$3),K317,E317)</f>
        <v>9523.68</v>
      </c>
      <c r="Q317" s="654" t="str">
        <f t="shared" si="183"/>
        <v>7-Dépenses</v>
      </c>
      <c r="R317" s="653" t="str">
        <f t="shared" si="184"/>
        <v>6151</v>
      </c>
      <c r="S317" s="654" t="str">
        <f t="shared" si="185"/>
        <v>_</v>
      </c>
      <c r="T317" s="656" t="str">
        <f>+VLOOKUP($L317,Data_Validation!$A:$D,1,0)</f>
        <v>6451</v>
      </c>
      <c r="U317" s="656" t="str">
        <f>+VLOOKUP($L317,Data_Validation!$A:$D,3,0)</f>
        <v>Service</v>
      </c>
      <c r="V317" s="656" t="str">
        <f>+VLOOKUP($L317,Data_Validation!$A:$D,4,0)</f>
        <v>Informatique</v>
      </c>
      <c r="W317" s="656" t="str">
        <f>+VLOOKUP($L317,Data_Validation!$A:$E,5,0)</f>
        <v>$</v>
      </c>
      <c r="X317" s="656">
        <f>+VLOOKUP($L317,Data_Validation!$A:$F,6,0)</f>
        <v>0</v>
      </c>
    </row>
    <row r="318" spans="1:24" ht="15.75" customHeight="1">
      <c r="A318" s="1329" t="s">
        <v>1199</v>
      </c>
      <c r="B318" s="1329" t="s">
        <v>2493</v>
      </c>
      <c r="C318" s="1331">
        <v>29.56</v>
      </c>
      <c r="D318" s="1331">
        <v>1314.46</v>
      </c>
      <c r="E318" s="1331">
        <v>1344.02</v>
      </c>
      <c r="F318" s="1329" t="s">
        <v>1154</v>
      </c>
      <c r="G318" s="1329" t="s">
        <v>1200</v>
      </c>
      <c r="H318" s="1329" t="s">
        <v>3942</v>
      </c>
      <c r="I318" s="651"/>
      <c r="J318" s="651"/>
      <c r="K318" s="651"/>
      <c r="L318" s="653" t="str">
        <f t="shared" si="181"/>
        <v>6452</v>
      </c>
      <c r="M318" s="654" t="str">
        <f t="shared" si="182"/>
        <v>PAPETERIE</v>
      </c>
      <c r="N318" s="655">
        <f>+IF(OR($Q318=Parametres!$G$2,$Q318=Parametres!$G$3),I318,C318)</f>
        <v>29.56</v>
      </c>
      <c r="O318" s="655">
        <f>+IF(OR($Q318=Parametres!$G$2,$Q318=Parametres!$G$3),J318,D318)</f>
        <v>1314.46</v>
      </c>
      <c r="P318" s="655">
        <f>+IF(OR($Q318=Parametres!$G$2,$Q318=Parametres!$G$3),K318,E318)</f>
        <v>1344.02</v>
      </c>
      <c r="Q318" s="654" t="str">
        <f t="shared" si="183"/>
        <v>7-Dépenses</v>
      </c>
      <c r="R318" s="653" t="str">
        <f t="shared" si="184"/>
        <v>6152</v>
      </c>
      <c r="S318" s="654" t="str">
        <f t="shared" si="185"/>
        <v>_</v>
      </c>
      <c r="T318" s="656" t="str">
        <f>+VLOOKUP($L318,Data_Validation!$A:$D,1,0)</f>
        <v>6452</v>
      </c>
      <c r="U318" s="656" t="str">
        <f>+VLOOKUP($L318,Data_Validation!$A:$D,3,0)</f>
        <v>Service</v>
      </c>
      <c r="V318" s="656" t="str">
        <f>+VLOOKUP($L318,Data_Validation!$A:$D,4,0)</f>
        <v>Papeterie</v>
      </c>
      <c r="W318" s="656" t="str">
        <f>+VLOOKUP($L318,Data_Validation!$A:$E,5,0)</f>
        <v>$</v>
      </c>
      <c r="X318" s="656">
        <f>+VLOOKUP($L318,Data_Validation!$A:$F,6,0)</f>
        <v>0</v>
      </c>
    </row>
    <row r="319" spans="1:24" ht="15" customHeight="1">
      <c r="A319" s="1329" t="s">
        <v>1201</v>
      </c>
      <c r="B319" s="1329" t="s">
        <v>2496</v>
      </c>
      <c r="C319" s="1331">
        <v>383.52</v>
      </c>
      <c r="D319" s="1331">
        <v>268.07</v>
      </c>
      <c r="E319" s="1331">
        <v>651.59</v>
      </c>
      <c r="F319" s="1329" t="s">
        <v>1154</v>
      </c>
      <c r="G319" s="1329" t="s">
        <v>1202</v>
      </c>
      <c r="H319" s="1329" t="s">
        <v>3942</v>
      </c>
      <c r="I319" s="652"/>
      <c r="J319" s="652"/>
      <c r="K319" s="652"/>
      <c r="L319" s="653" t="str">
        <f t="shared" si="181"/>
        <v>6453</v>
      </c>
      <c r="M319" s="654" t="str">
        <f t="shared" si="182"/>
        <v>TELEPHONE ET TELEX</v>
      </c>
      <c r="N319" s="655">
        <f>+IF(OR($Q319=Parametres!$G$2,$Q319=Parametres!$G$3),I319,C319)</f>
        <v>383.52</v>
      </c>
      <c r="O319" s="659">
        <f>+IF(OR($Q319=Parametres!$G$2,$Q319=Parametres!$G$3),J319,D319)</f>
        <v>268.07</v>
      </c>
      <c r="P319" s="655">
        <f>+IF(OR($Q319=Parametres!$G$2,$Q319=Parametres!$G$3),K319,E319)</f>
        <v>651.59</v>
      </c>
      <c r="Q319" s="654" t="str">
        <f t="shared" si="183"/>
        <v>7-Dépenses</v>
      </c>
      <c r="R319" s="653" t="str">
        <f t="shared" si="184"/>
        <v>6153</v>
      </c>
      <c r="S319" s="654" t="str">
        <f t="shared" si="185"/>
        <v>_</v>
      </c>
      <c r="T319" s="656" t="str">
        <f>+VLOOKUP($L319,Data_Validation!$A:$D,1,0)</f>
        <v>6453</v>
      </c>
      <c r="U319" s="656" t="str">
        <f>+VLOOKUP($L319,Data_Validation!$A:$D,3,0)</f>
        <v>Service</v>
      </c>
      <c r="V319" s="656" t="str">
        <f>+VLOOKUP($L319,Data_Validation!$A:$D,4,0)</f>
        <v>Téléphone</v>
      </c>
      <c r="W319" s="656" t="str">
        <f>+VLOOKUP($L319,Data_Validation!$A:$E,5,0)</f>
        <v>$</v>
      </c>
      <c r="X319" s="656">
        <f>+VLOOKUP($L319,Data_Validation!$A:$F,6,0)</f>
        <v>0</v>
      </c>
    </row>
    <row r="320" spans="1:24" ht="15" customHeight="1">
      <c r="A320" s="1329" t="s">
        <v>1203</v>
      </c>
      <c r="B320" s="1329" t="s">
        <v>2499</v>
      </c>
      <c r="C320" s="1331">
        <v>386.69</v>
      </c>
      <c r="D320" s="1331">
        <v>26.26</v>
      </c>
      <c r="E320" s="1331">
        <v>412.95</v>
      </c>
      <c r="F320" s="1329" t="s">
        <v>1154</v>
      </c>
      <c r="G320" s="1329" t="s">
        <v>1204</v>
      </c>
      <c r="H320" s="1329" t="s">
        <v>3942</v>
      </c>
      <c r="I320" s="663"/>
      <c r="J320" s="663"/>
      <c r="K320" s="663"/>
      <c r="L320" s="653" t="str">
        <f t="shared" si="181"/>
        <v>6455</v>
      </c>
      <c r="M320" s="654" t="str">
        <f t="shared" si="182"/>
        <v>DEPENSES DIVERS</v>
      </c>
      <c r="N320" s="655">
        <f>+IF(OR($Q320=Parametres!$G$2,$Q320=Parametres!$G$3),I320,C320)</f>
        <v>386.69</v>
      </c>
      <c r="O320" s="655">
        <f>+IF(OR($Q320=Parametres!$G$2,$Q320=Parametres!$G$3),J320,D320)</f>
        <v>26.26</v>
      </c>
      <c r="P320" s="655">
        <f>+IF(OR($Q320=Parametres!$G$2,$Q320=Parametres!$G$3),K320,E320)</f>
        <v>412.95</v>
      </c>
      <c r="Q320" s="654" t="str">
        <f t="shared" si="183"/>
        <v>7-Dépenses</v>
      </c>
      <c r="R320" s="653" t="str">
        <f t="shared" si="184"/>
        <v>6155</v>
      </c>
      <c r="S320" s="654" t="str">
        <f t="shared" si="185"/>
        <v>_</v>
      </c>
      <c r="T320" s="656" t="str">
        <f>+VLOOKUP($L320,Data_Validation!$A:$D,1,0)</f>
        <v>6455</v>
      </c>
      <c r="U320" s="656" t="str">
        <f>+VLOOKUP($L320,Data_Validation!$A:$D,3,0)</f>
        <v>Service</v>
      </c>
      <c r="V320" s="656" t="str">
        <f>+VLOOKUP($L320,Data_Validation!$A:$D,4,0)</f>
        <v>Divers</v>
      </c>
      <c r="W320" s="656" t="str">
        <f>+VLOOKUP($L320,Data_Validation!$A:$E,5,0)</f>
        <v>$</v>
      </c>
      <c r="X320" s="656">
        <f>+VLOOKUP($L320,Data_Validation!$A:$F,6,0)</f>
        <v>0</v>
      </c>
    </row>
    <row r="321" spans="1:24" ht="15" customHeight="1">
      <c r="A321" s="1329" t="s">
        <v>1251</v>
      </c>
      <c r="B321" s="1329" t="s">
        <v>2502</v>
      </c>
      <c r="C321" s="1331">
        <v>322.32</v>
      </c>
      <c r="D321" s="1331">
        <v>459.73</v>
      </c>
      <c r="E321" s="1331">
        <v>782.05</v>
      </c>
      <c r="F321" s="1329" t="s">
        <v>1154</v>
      </c>
      <c r="G321" s="1329" t="s">
        <v>1206</v>
      </c>
      <c r="H321" s="1329" t="s">
        <v>3942</v>
      </c>
      <c r="I321" s="1284"/>
      <c r="J321" s="1284"/>
      <c r="K321" s="1284"/>
      <c r="L321" s="653" t="str">
        <f t="shared" si="181"/>
        <v>6456</v>
      </c>
      <c r="M321" s="654" t="str">
        <f t="shared" si="182"/>
        <v>FRAIS REPRESENTATION - SERVICE</v>
      </c>
      <c r="N321" s="655">
        <f>+IF(OR($Q321=Parametres!$G$2,$Q321=Parametres!$G$3),I321,C321)</f>
        <v>322.32</v>
      </c>
      <c r="O321" s="655">
        <f>+IF(OR($Q321=Parametres!$G$2,$Q321=Parametres!$G$3),J321,D321)</f>
        <v>459.73</v>
      </c>
      <c r="P321" s="655">
        <f>+IF(OR($Q321=Parametres!$G$2,$Q321=Parametres!$G$3),K321,E321)</f>
        <v>782.05</v>
      </c>
      <c r="Q321" s="654" t="str">
        <f t="shared" si="183"/>
        <v>7-Dépenses</v>
      </c>
      <c r="R321" s="653" t="str">
        <f t="shared" si="184"/>
        <v>6156</v>
      </c>
      <c r="S321" s="654" t="str">
        <f t="shared" si="185"/>
        <v>_</v>
      </c>
      <c r="T321" s="656" t="str">
        <f>+VLOOKUP($L321,Data_Validation!$A:$D,1,0)</f>
        <v>6456</v>
      </c>
      <c r="U321" s="656" t="str">
        <f>+VLOOKUP($L321,Data_Validation!$A:$D,3,0)</f>
        <v>Service</v>
      </c>
      <c r="V321" s="656" t="str">
        <f>+VLOOKUP($L321,Data_Validation!$A:$D,4,0)</f>
        <v>Frais de déplacement</v>
      </c>
      <c r="W321" s="656" t="str">
        <f>+VLOOKUP($L321,Data_Validation!$A:$E,5,0)</f>
        <v>$</v>
      </c>
      <c r="X321" s="656">
        <f>+VLOOKUP($L321,Data_Validation!$A:$F,6,0)</f>
        <v>0</v>
      </c>
    </row>
    <row r="322" spans="1:24" ht="15.75" customHeight="1">
      <c r="A322" s="1329" t="s">
        <v>1252</v>
      </c>
      <c r="B322" s="1329" t="s">
        <v>3393</v>
      </c>
      <c r="C322" s="1331">
        <v>1651.7</v>
      </c>
      <c r="D322" s="1331">
        <v>3033.95</v>
      </c>
      <c r="E322" s="1331">
        <v>4685.6499999999996</v>
      </c>
      <c r="F322" s="1329" t="s">
        <v>1154</v>
      </c>
      <c r="G322" s="1329" t="s">
        <v>1253</v>
      </c>
      <c r="H322" s="1329" t="s">
        <v>3942</v>
      </c>
      <c r="I322" s="1284"/>
      <c r="J322" s="1284"/>
      <c r="K322" s="1284"/>
      <c r="L322" s="653" t="str">
        <f t="shared" si="181"/>
        <v>6457</v>
      </c>
      <c r="M322" s="654" t="str">
        <f t="shared" si="182"/>
        <v>FRAIS BANCAIRES - SERVICE</v>
      </c>
      <c r="N322" s="655">
        <f>+IF(OR($Q322=Parametres!$G$2,$Q322=Parametres!$G$3),I322,C322)</f>
        <v>1651.7</v>
      </c>
      <c r="O322" s="659">
        <f>+IF(OR($Q322=Parametres!$G$2,$Q322=Parametres!$G$3),J322,D322)</f>
        <v>3033.95</v>
      </c>
      <c r="P322" s="655">
        <f>+IF(OR($Q322=Parametres!$G$2,$Q322=Parametres!$G$3),K322,E322)</f>
        <v>4685.6499999999996</v>
      </c>
      <c r="Q322" s="654" t="str">
        <f t="shared" si="183"/>
        <v>7-Dépenses</v>
      </c>
      <c r="R322" s="653" t="str">
        <f t="shared" si="184"/>
        <v>645</v>
      </c>
      <c r="S322" s="654" t="str">
        <f t="shared" si="185"/>
        <v>_</v>
      </c>
      <c r="T322" s="656" t="str">
        <f>+VLOOKUP($L322,Data_Validation!$A:$D,1,0)</f>
        <v>6457</v>
      </c>
      <c r="U322" s="656" t="str">
        <f>+VLOOKUP($L322,Data_Validation!$A:$D,3,0)</f>
        <v>Service</v>
      </c>
      <c r="V322" s="656" t="str">
        <f>+VLOOKUP($L322,Data_Validation!$A:$D,4,0)</f>
        <v>Frais bancaires</v>
      </c>
      <c r="W322" s="656" t="str">
        <f>+VLOOKUP($L322,Data_Validation!$A:$E,5,0)</f>
        <v>$</v>
      </c>
      <c r="X322" s="656">
        <f>+VLOOKUP($L322,Data_Validation!$A:$F,6,0)</f>
        <v>0</v>
      </c>
    </row>
    <row r="323" spans="1:24" ht="15" customHeight="1">
      <c r="A323" s="1329" t="s">
        <v>1209</v>
      </c>
      <c r="B323" s="1329" t="s">
        <v>2505</v>
      </c>
      <c r="C323" s="1331">
        <v>15598.53</v>
      </c>
      <c r="D323" s="1331">
        <v>15291.27</v>
      </c>
      <c r="E323" s="1331">
        <v>30889.8</v>
      </c>
      <c r="F323" s="1329" t="s">
        <v>1154</v>
      </c>
      <c r="G323" s="1329" t="s">
        <v>1210</v>
      </c>
      <c r="H323" s="1329" t="s">
        <v>3942</v>
      </c>
      <c r="I323" s="1284"/>
      <c r="J323" s="1284"/>
      <c r="K323" s="1284"/>
      <c r="L323" s="653" t="str">
        <f t="shared" si="181"/>
        <v>6459</v>
      </c>
      <c r="M323" s="654" t="str">
        <f t="shared" si="182"/>
        <v>SERVICE EXTERIEUR</v>
      </c>
      <c r="N323" s="655">
        <f>+IF(OR($Q323=Parametres!$G$2,$Q323=Parametres!$G$3),I323,C323)</f>
        <v>15598.53</v>
      </c>
      <c r="O323" s="659">
        <f>+IF(OR($Q323=Parametres!$G$2,$Q323=Parametres!$G$3),J323,D323)</f>
        <v>15291.27</v>
      </c>
      <c r="P323" s="655">
        <f>+IF(OR($Q323=Parametres!$G$2,$Q323=Parametres!$G$3),K323,E323)</f>
        <v>30889.8</v>
      </c>
      <c r="Q323" s="654" t="str">
        <f t="shared" si="183"/>
        <v>7-Dépenses</v>
      </c>
      <c r="R323" s="653" t="str">
        <f t="shared" si="184"/>
        <v>6159</v>
      </c>
      <c r="S323" s="654" t="str">
        <f t="shared" si="185"/>
        <v>_</v>
      </c>
      <c r="T323" s="656" t="str">
        <f>+VLOOKUP($L323,Data_Validation!$A:$D,1,0)</f>
        <v>6459</v>
      </c>
      <c r="U323" s="656" t="str">
        <f>+VLOOKUP($L323,Data_Validation!$A:$D,3,0)</f>
        <v>Service</v>
      </c>
      <c r="V323" s="656" t="str">
        <f>+VLOOKUP($L323,Data_Validation!$A:$D,4,0)</f>
        <v>Services extérieurs</v>
      </c>
      <c r="W323" s="656" t="str">
        <f>+VLOOKUP($L323,Data_Validation!$A:$E,5,0)</f>
        <v>$</v>
      </c>
      <c r="X323" s="656">
        <f>+VLOOKUP($L323,Data_Validation!$A:$F,6,0)</f>
        <v>0</v>
      </c>
    </row>
    <row r="324" spans="1:24" ht="15" customHeight="1">
      <c r="A324" s="1329" t="s">
        <v>1211</v>
      </c>
      <c r="B324" s="1329" t="s">
        <v>2508</v>
      </c>
      <c r="C324" s="1331">
        <v>2284.08</v>
      </c>
      <c r="D324" s="1331">
        <v>2284.08</v>
      </c>
      <c r="E324" s="1331">
        <v>4568.16</v>
      </c>
      <c r="F324" s="1329" t="s">
        <v>1154</v>
      </c>
      <c r="G324" s="1329" t="s">
        <v>1212</v>
      </c>
      <c r="H324" s="1329" t="s">
        <v>3942</v>
      </c>
      <c r="I324" s="1284"/>
      <c r="J324" s="1284"/>
      <c r="K324" s="1284"/>
      <c r="L324" s="653" t="str">
        <f t="shared" si="181"/>
        <v>6461</v>
      </c>
      <c r="M324" s="654" t="str">
        <f t="shared" si="182"/>
        <v>DEPRECIATION EQUIP. &amp; FIXTURES</v>
      </c>
      <c r="N324" s="655">
        <f>+IF(OR($Q324=Parametres!$G$2,$Q324=Parametres!$G$3),I324,C324)</f>
        <v>2284.08</v>
      </c>
      <c r="O324" s="655">
        <f>+IF(OR($Q324=Parametres!$G$2,$Q324=Parametres!$G$3),J324,D324)</f>
        <v>2284.08</v>
      </c>
      <c r="P324" s="655">
        <f>+IF(OR($Q324=Parametres!$G$2,$Q324=Parametres!$G$3),K324,E324)</f>
        <v>4568.16</v>
      </c>
      <c r="Q324" s="654" t="str">
        <f t="shared" si="183"/>
        <v>7-Dépenses</v>
      </c>
      <c r="R324" s="653" t="str">
        <f t="shared" si="184"/>
        <v>6161</v>
      </c>
      <c r="S324" s="654" t="str">
        <f t="shared" si="185"/>
        <v>_</v>
      </c>
      <c r="T324" s="656" t="str">
        <f>+VLOOKUP($L324,Data_Validation!$A:$D,1,0)</f>
        <v>6461</v>
      </c>
      <c r="U324" s="656" t="str">
        <f>+VLOOKUP($L324,Data_Validation!$A:$D,3,0)</f>
        <v>Service</v>
      </c>
      <c r="V324" s="656" t="str">
        <f>+VLOOKUP($L324,Data_Validation!$A:$D,4,0)</f>
        <v>Amortissement</v>
      </c>
      <c r="W324" s="656" t="str">
        <f>+VLOOKUP($L324,Data_Validation!$A:$E,5,0)</f>
        <v>$</v>
      </c>
      <c r="X324" s="656">
        <f>+VLOOKUP($L324,Data_Validation!$A:$F,6,0)</f>
        <v>0</v>
      </c>
    </row>
    <row r="325" spans="1:24" ht="15" customHeight="1">
      <c r="A325" s="1329" t="s">
        <v>1389</v>
      </c>
      <c r="B325" s="1329" t="s">
        <v>2511</v>
      </c>
      <c r="C325" s="1331">
        <v>991.4</v>
      </c>
      <c r="D325" s="1331">
        <v>0</v>
      </c>
      <c r="E325" s="1331">
        <v>991.4</v>
      </c>
      <c r="F325" s="1329" t="s">
        <v>1154</v>
      </c>
      <c r="G325" s="1329" t="s">
        <v>2304</v>
      </c>
      <c r="H325" s="1329" t="s">
        <v>3942</v>
      </c>
      <c r="I325" s="1284"/>
      <c r="J325" s="1284"/>
      <c r="K325" s="1284"/>
      <c r="L325" s="653" t="str">
        <f t="shared" si="181"/>
        <v>6462</v>
      </c>
      <c r="M325" s="654" t="str">
        <f t="shared" si="182"/>
        <v>LOCATION D'EQUIPEMENTS</v>
      </c>
      <c r="N325" s="655">
        <f>+IF(OR($Q325=Parametres!$G$2,$Q325=Parametres!$G$3),I325,C325)</f>
        <v>991.4</v>
      </c>
      <c r="O325" s="659">
        <f>+IF(OR($Q325=Parametres!$G$2,$Q325=Parametres!$G$3),J325,D325)</f>
        <v>0</v>
      </c>
      <c r="P325" s="655">
        <f>+IF(OR($Q325=Parametres!$G$2,$Q325=Parametres!$G$3),K325,E325)</f>
        <v>991.4</v>
      </c>
      <c r="Q325" s="654" t="str">
        <f t="shared" si="183"/>
        <v>7-Dépenses</v>
      </c>
      <c r="R325" s="653" t="str">
        <f t="shared" si="184"/>
        <v>6162</v>
      </c>
      <c r="S325" s="654" t="str">
        <f t="shared" si="185"/>
        <v>_</v>
      </c>
      <c r="T325" s="656" t="str">
        <f>+VLOOKUP($L325,Data_Validation!$A:$D,1,0)</f>
        <v>6462</v>
      </c>
      <c r="U325" s="656" t="str">
        <f>+VLOOKUP($L325,Data_Validation!$A:$D,3,0)</f>
        <v>Service</v>
      </c>
      <c r="V325" s="656" t="str">
        <f>+VLOOKUP($L325,Data_Validation!$A:$D,4,0)</f>
        <v>Location équipement</v>
      </c>
      <c r="W325" s="656" t="str">
        <f>+VLOOKUP($L325,Data_Validation!$A:$E,5,0)</f>
        <v>$</v>
      </c>
      <c r="X325" s="656">
        <f>+VLOOKUP($L325,Data_Validation!$A:$F,6,0)</f>
        <v>0</v>
      </c>
    </row>
    <row r="326" spans="1:24" ht="15" customHeight="1">
      <c r="A326" s="1329" t="s">
        <v>1254</v>
      </c>
      <c r="B326" s="1329" t="s">
        <v>2514</v>
      </c>
      <c r="C326" s="1331">
        <v>81.12</v>
      </c>
      <c r="D326" s="1331">
        <v>104.94</v>
      </c>
      <c r="E326" s="1331">
        <v>186.06</v>
      </c>
      <c r="F326" s="1329" t="s">
        <v>1154</v>
      </c>
      <c r="G326" s="1329" t="s">
        <v>1255</v>
      </c>
      <c r="H326" s="1329" t="s">
        <v>3942</v>
      </c>
      <c r="I326" s="1284"/>
      <c r="J326" s="1284"/>
      <c r="K326" s="1284"/>
      <c r="L326" s="653" t="str">
        <f t="shared" si="181"/>
        <v>6463</v>
      </c>
      <c r="M326" s="654" t="str">
        <f t="shared" si="182"/>
        <v>REPARATION &amp; ENT. - EQUIP.</v>
      </c>
      <c r="N326" s="655">
        <f>+IF(OR($Q326=Parametres!$G$2,$Q326=Parametres!$G$3),I326,C326)</f>
        <v>81.12</v>
      </c>
      <c r="O326" s="659">
        <f>+IF(OR($Q326=Parametres!$G$2,$Q326=Parametres!$G$3),J326,D326)</f>
        <v>104.94</v>
      </c>
      <c r="P326" s="655">
        <f>+IF(OR($Q326=Parametres!$G$2,$Q326=Parametres!$G$3),K326,E326)</f>
        <v>186.06</v>
      </c>
      <c r="Q326" s="654" t="str">
        <f t="shared" si="183"/>
        <v>7-Dépenses</v>
      </c>
      <c r="R326" s="653" t="str">
        <f t="shared" si="184"/>
        <v>6163</v>
      </c>
      <c r="S326" s="654" t="str">
        <f t="shared" si="185"/>
        <v>_</v>
      </c>
      <c r="T326" s="656" t="str">
        <f>+VLOOKUP($L326,Data_Validation!$A:$D,1,0)</f>
        <v>6463</v>
      </c>
      <c r="U326" s="656" t="str">
        <f>+VLOOKUP($L326,Data_Validation!$A:$D,3,0)</f>
        <v>Service</v>
      </c>
      <c r="V326" s="656" t="str">
        <f>+VLOOKUP($L326,Data_Validation!$A:$D,4,0)</f>
        <v>Réparation équipement</v>
      </c>
      <c r="W326" s="656" t="str">
        <f>+VLOOKUP($L326,Data_Validation!$A:$E,5,0)</f>
        <v>$</v>
      </c>
      <c r="X326" s="656">
        <f>+VLOOKUP($L326,Data_Validation!$A:$F,6,0)</f>
        <v>0</v>
      </c>
    </row>
    <row r="327" spans="1:24" ht="15.75" customHeight="1">
      <c r="A327" s="1329" t="s">
        <v>1256</v>
      </c>
      <c r="B327" s="1329" t="s">
        <v>2517</v>
      </c>
      <c r="C327" s="1331">
        <v>3403.77</v>
      </c>
      <c r="D327" s="1331">
        <v>1782.03</v>
      </c>
      <c r="E327" s="1331">
        <v>5185.8</v>
      </c>
      <c r="F327" s="1329" t="s">
        <v>1154</v>
      </c>
      <c r="G327" s="1329" t="s">
        <v>1214</v>
      </c>
      <c r="H327" s="1329" t="s">
        <v>3942</v>
      </c>
      <c r="I327" s="1284"/>
      <c r="J327" s="1284"/>
      <c r="K327" s="1284"/>
      <c r="L327" s="653" t="str">
        <f t="shared" si="181"/>
        <v>6481</v>
      </c>
      <c r="M327" s="654" t="str">
        <f t="shared" si="182"/>
        <v>CHAUFFAGE,ELECTRICITE,EAU-SERVICE</v>
      </c>
      <c r="N327" s="655">
        <f>+IF(OR($Q327=Parametres!$G$2,$Q327=Parametres!$G$3),I327,C327)</f>
        <v>3403.77</v>
      </c>
      <c r="O327" s="655">
        <f>+IF(OR($Q327=Parametres!$G$2,$Q327=Parametres!$G$3),J327,D327)</f>
        <v>1782.03</v>
      </c>
      <c r="P327" s="655">
        <f>+IF(OR($Q327=Parametres!$G$2,$Q327=Parametres!$G$3),K327,E327)</f>
        <v>5185.8</v>
      </c>
      <c r="Q327" s="654" t="str">
        <f t="shared" si="183"/>
        <v>7-Dépenses</v>
      </c>
      <c r="R327" s="653" t="str">
        <f t="shared" si="184"/>
        <v>6181</v>
      </c>
      <c r="S327" s="654" t="str">
        <f t="shared" si="185"/>
        <v>_</v>
      </c>
      <c r="T327" s="656" t="str">
        <f>+VLOOKUP($L327,Data_Validation!$A:$D,1,0)</f>
        <v>6481</v>
      </c>
      <c r="U327" s="656" t="str">
        <f>+VLOOKUP($L327,Data_Validation!$A:$D,3,0)</f>
        <v>Service</v>
      </c>
      <c r="V327" s="656" t="str">
        <f>+VLOOKUP($L327,Data_Validation!$A:$D,4,0)</f>
        <v>Chauffage, éclairage</v>
      </c>
      <c r="W327" s="656" t="str">
        <f>+VLOOKUP($L327,Data_Validation!$A:$E,5,0)</f>
        <v>$</v>
      </c>
      <c r="X327" s="656">
        <f>+VLOOKUP($L327,Data_Validation!$A:$F,6,0)</f>
        <v>0</v>
      </c>
    </row>
    <row r="328" spans="1:24" ht="15" customHeight="1">
      <c r="A328" s="1329" t="s">
        <v>1257</v>
      </c>
      <c r="B328" s="1329" t="s">
        <v>2520</v>
      </c>
      <c r="C328" s="1331">
        <v>11040</v>
      </c>
      <c r="D328" s="1331">
        <v>19080</v>
      </c>
      <c r="E328" s="1331">
        <v>30120</v>
      </c>
      <c r="F328" s="1329" t="s">
        <v>1154</v>
      </c>
      <c r="G328" s="1329" t="s">
        <v>1216</v>
      </c>
      <c r="H328" s="1329" t="s">
        <v>3942</v>
      </c>
      <c r="I328" s="1284"/>
      <c r="J328" s="1284"/>
      <c r="K328" s="1284"/>
      <c r="L328" s="653" t="str">
        <f t="shared" si="181"/>
        <v>6482</v>
      </c>
      <c r="M328" s="654" t="str">
        <f t="shared" si="182"/>
        <v>LOYER - SERVICE</v>
      </c>
      <c r="N328" s="655">
        <f>+IF(OR($Q328=Parametres!$G$2,$Q328=Parametres!$G$3),I328,C328)</f>
        <v>11040</v>
      </c>
      <c r="O328" s="655">
        <f>+IF(OR($Q328=Parametres!$G$2,$Q328=Parametres!$G$3),J328,D328)</f>
        <v>19080</v>
      </c>
      <c r="P328" s="655">
        <f>+IF(OR($Q328=Parametres!$G$2,$Q328=Parametres!$G$3),K328,E328)</f>
        <v>30120</v>
      </c>
      <c r="Q328" s="654" t="str">
        <f t="shared" si="183"/>
        <v>7-Dépenses</v>
      </c>
      <c r="R328" s="653" t="str">
        <f t="shared" si="184"/>
        <v>6182</v>
      </c>
      <c r="S328" s="654" t="str">
        <f t="shared" si="185"/>
        <v>_</v>
      </c>
      <c r="T328" s="656" t="str">
        <f>+VLOOKUP($L328,Data_Validation!$A:$D,1,0)</f>
        <v>6482</v>
      </c>
      <c r="U328" s="656" t="str">
        <f>+VLOOKUP($L328,Data_Validation!$A:$D,3,0)</f>
        <v>Service</v>
      </c>
      <c r="V328" s="656" t="str">
        <f>+VLOOKUP($L328,Data_Validation!$A:$D,4,0)</f>
        <v>Loyer</v>
      </c>
      <c r="W328" s="656" t="str">
        <f>+VLOOKUP($L328,Data_Validation!$A:$E,5,0)</f>
        <v>$</v>
      </c>
      <c r="X328" s="656">
        <f>+VLOOKUP($L328,Data_Validation!$A:$F,6,0)</f>
        <v>0</v>
      </c>
    </row>
    <row r="329" spans="1:24" ht="15" customHeight="1">
      <c r="A329" s="1329" t="s">
        <v>1258</v>
      </c>
      <c r="B329" s="1329" t="s">
        <v>2523</v>
      </c>
      <c r="C329" s="1331">
        <v>1042.6199999999999</v>
      </c>
      <c r="D329" s="1331">
        <v>854.4</v>
      </c>
      <c r="E329" s="1331">
        <v>1897.02</v>
      </c>
      <c r="F329" s="1329" t="s">
        <v>1154</v>
      </c>
      <c r="G329" s="1329" t="s">
        <v>1218</v>
      </c>
      <c r="H329" s="1329" t="s">
        <v>3942</v>
      </c>
      <c r="I329" s="1284"/>
      <c r="J329" s="1284"/>
      <c r="K329" s="1284"/>
      <c r="L329" s="653" t="str">
        <f t="shared" si="181"/>
        <v>6486</v>
      </c>
      <c r="M329" s="654" t="str">
        <f t="shared" si="182"/>
        <v>ASSURANCE BATISSE &amp; AMEL.-SERVICE</v>
      </c>
      <c r="N329" s="655">
        <f>+IF(OR($Q329=Parametres!$G$2,$Q329=Parametres!$G$3),I329,C329)</f>
        <v>1042.6199999999999</v>
      </c>
      <c r="O329" s="655">
        <f>+IF(OR($Q329=Parametres!$G$2,$Q329=Parametres!$G$3),J329,D329)</f>
        <v>854.4</v>
      </c>
      <c r="P329" s="655">
        <f>+IF(OR($Q329=Parametres!$G$2,$Q329=Parametres!$G$3),K329,E329)</f>
        <v>1897.02</v>
      </c>
      <c r="Q329" s="654" t="str">
        <f t="shared" si="183"/>
        <v>7-Dépenses</v>
      </c>
      <c r="R329" s="653" t="str">
        <f t="shared" si="184"/>
        <v>6186</v>
      </c>
      <c r="S329" s="654" t="str">
        <f t="shared" si="185"/>
        <v>_</v>
      </c>
      <c r="T329" s="656" t="str">
        <f>+VLOOKUP($L329,Data_Validation!$A:$D,1,0)</f>
        <v>6486</v>
      </c>
      <c r="U329" s="656" t="str">
        <f>+VLOOKUP($L329,Data_Validation!$A:$D,3,0)</f>
        <v>Service</v>
      </c>
      <c r="V329" s="656" t="str">
        <f>+VLOOKUP($L329,Data_Validation!$A:$D,4,0)</f>
        <v>Assurances</v>
      </c>
      <c r="W329" s="656" t="str">
        <f>+VLOOKUP($L329,Data_Validation!$A:$E,5,0)</f>
        <v>$</v>
      </c>
      <c r="X329" s="656">
        <f>+VLOOKUP($L329,Data_Validation!$A:$F,6,0)</f>
        <v>0</v>
      </c>
    </row>
    <row r="330" spans="1:24" ht="15" customHeight="1">
      <c r="A330" s="1329" t="s">
        <v>1259</v>
      </c>
      <c r="B330" s="1329" t="s">
        <v>2526</v>
      </c>
      <c r="C330" s="1331">
        <v>3960</v>
      </c>
      <c r="D330" s="1331">
        <v>3960</v>
      </c>
      <c r="E330" s="1331">
        <v>7920</v>
      </c>
      <c r="F330" s="1329" t="s">
        <v>1154</v>
      </c>
      <c r="G330" s="1329" t="s">
        <v>1220</v>
      </c>
      <c r="H330" s="1329" t="s">
        <v>3942</v>
      </c>
      <c r="I330" s="1284"/>
      <c r="J330" s="1284"/>
      <c r="K330" s="1284"/>
      <c r="L330" s="653" t="str">
        <f t="shared" si="181"/>
        <v>6487</v>
      </c>
      <c r="M330" s="654" t="str">
        <f t="shared" si="182"/>
        <v>TAXES FONCIERES - SERVICE</v>
      </c>
      <c r="N330" s="655">
        <f>+IF(OR($Q330=Parametres!$G$2,$Q330=Parametres!$G$3),I330,C330)</f>
        <v>3960</v>
      </c>
      <c r="O330" s="655">
        <f>+IF(OR($Q330=Parametres!$G$2,$Q330=Parametres!$G$3),J330,D330)</f>
        <v>3960</v>
      </c>
      <c r="P330" s="655">
        <f>+IF(OR($Q330=Parametres!$G$2,$Q330=Parametres!$G$3),K330,E330)</f>
        <v>7920</v>
      </c>
      <c r="Q330" s="654" t="str">
        <f t="shared" si="183"/>
        <v>7-Dépenses</v>
      </c>
      <c r="R330" s="653" t="str">
        <f t="shared" si="184"/>
        <v>6187</v>
      </c>
      <c r="S330" s="654" t="str">
        <f t="shared" si="185"/>
        <v>_</v>
      </c>
      <c r="T330" s="656" t="str">
        <f>+VLOOKUP($L330,Data_Validation!$A:$D,1,0)</f>
        <v>6487</v>
      </c>
      <c r="U330" s="656" t="str">
        <f>+VLOOKUP($L330,Data_Validation!$A:$D,3,0)</f>
        <v>Service</v>
      </c>
      <c r="V330" s="656" t="str">
        <f>+VLOOKUP($L330,Data_Validation!$A:$D,4,0)</f>
        <v>Taxes foncières</v>
      </c>
      <c r="W330" s="656" t="str">
        <f>+VLOOKUP($L330,Data_Validation!$A:$E,5,0)</f>
        <v>$</v>
      </c>
      <c r="X330" s="656">
        <f>+VLOOKUP($L330,Data_Validation!$A:$F,6,0)</f>
        <v>0</v>
      </c>
    </row>
    <row r="331" spans="1:24" ht="15" customHeight="1">
      <c r="A331" s="1329" t="s">
        <v>1260</v>
      </c>
      <c r="B331" s="1329" t="s">
        <v>2529</v>
      </c>
      <c r="C331" s="1331">
        <v>360</v>
      </c>
      <c r="D331" s="1331">
        <v>360</v>
      </c>
      <c r="E331" s="1331">
        <v>720</v>
      </c>
      <c r="F331" s="1329" t="s">
        <v>1154</v>
      </c>
      <c r="G331" s="1329" t="s">
        <v>1222</v>
      </c>
      <c r="H331" s="1329" t="s">
        <v>3942</v>
      </c>
      <c r="I331" s="1284"/>
      <c r="J331" s="1284"/>
      <c r="K331" s="1284"/>
      <c r="L331" s="653" t="str">
        <f t="shared" si="181"/>
        <v>6493</v>
      </c>
      <c r="M331" s="654" t="str">
        <f t="shared" si="182"/>
        <v>AUTRE TAXES-SERVICE</v>
      </c>
      <c r="N331" s="655">
        <f>+IF(OR($Q331=Parametres!$G$2,$Q331=Parametres!$G$3),I331,C331)</f>
        <v>360</v>
      </c>
      <c r="O331" s="655">
        <f>+IF(OR($Q331=Parametres!$G$2,$Q331=Parametres!$G$3),J331,D331)</f>
        <v>360</v>
      </c>
      <c r="P331" s="655">
        <f>+IF(OR($Q331=Parametres!$G$2,$Q331=Parametres!$G$3),K331,E331)</f>
        <v>720</v>
      </c>
      <c r="Q331" s="654" t="str">
        <f t="shared" si="183"/>
        <v>7-Dépenses</v>
      </c>
      <c r="R331" s="653" t="str">
        <f t="shared" si="184"/>
        <v>6193</v>
      </c>
      <c r="S331" s="654" t="str">
        <f t="shared" si="185"/>
        <v>_</v>
      </c>
      <c r="T331" s="656" t="str">
        <f>+VLOOKUP($L331,Data_Validation!$A:$D,1,0)</f>
        <v>6493</v>
      </c>
      <c r="U331" s="656" t="str">
        <f>+VLOOKUP($L331,Data_Validation!$A:$D,3,0)</f>
        <v>Service</v>
      </c>
      <c r="V331" s="656" t="str">
        <f>+VLOOKUP($L331,Data_Validation!$A:$D,4,0)</f>
        <v>Taxes d`affaires</v>
      </c>
      <c r="W331" s="656" t="str">
        <f>+VLOOKUP($L331,Data_Validation!$A:$E,5,0)</f>
        <v>$</v>
      </c>
      <c r="X331" s="656">
        <f>+VLOOKUP($L331,Data_Validation!$A:$F,6,0)</f>
        <v>0</v>
      </c>
    </row>
    <row r="332" spans="1:24" ht="15" customHeight="1">
      <c r="A332" s="1329" t="s">
        <v>1261</v>
      </c>
      <c r="B332" s="1329" t="s">
        <v>2532</v>
      </c>
      <c r="C332" s="1331">
        <v>1541.6</v>
      </c>
      <c r="D332" s="1331">
        <v>9459.6200000000008</v>
      </c>
      <c r="E332" s="1331">
        <v>11001.22</v>
      </c>
      <c r="F332" s="1329" t="s">
        <v>1154</v>
      </c>
      <c r="G332" s="1329" t="s">
        <v>1224</v>
      </c>
      <c r="H332" s="1329" t="s">
        <v>3942</v>
      </c>
      <c r="I332" s="1284"/>
      <c r="J332" s="1284"/>
      <c r="K332" s="1284"/>
      <c r="L332" s="653" t="str">
        <f t="shared" si="181"/>
        <v>6494</v>
      </c>
      <c r="M332" s="654" t="str">
        <f t="shared" si="182"/>
        <v>FRAIS PROFESSIONNEL-SERVICE</v>
      </c>
      <c r="N332" s="655">
        <f>+IF(OR($Q332=Parametres!$G$2,$Q332=Parametres!$G$3),I332,C332)</f>
        <v>1541.6</v>
      </c>
      <c r="O332" s="655">
        <f>+IF(OR($Q332=Parametres!$G$2,$Q332=Parametres!$G$3),J332,D332)</f>
        <v>9459.6200000000008</v>
      </c>
      <c r="P332" s="655">
        <f>+IF(OR($Q332=Parametres!$G$2,$Q332=Parametres!$G$3),K332,E332)</f>
        <v>11001.22</v>
      </c>
      <c r="Q332" s="654" t="str">
        <f t="shared" si="183"/>
        <v>7-Dépenses</v>
      </c>
      <c r="R332" s="653" t="str">
        <f t="shared" si="184"/>
        <v>6194</v>
      </c>
      <c r="S332" s="654" t="str">
        <f t="shared" si="185"/>
        <v>_</v>
      </c>
      <c r="T332" s="656" t="str">
        <f>+VLOOKUP($L332,Data_Validation!$A:$D,1,0)</f>
        <v>6494</v>
      </c>
      <c r="U332" s="656" t="str">
        <f>+VLOOKUP($L332,Data_Validation!$A:$D,3,0)</f>
        <v>Service</v>
      </c>
      <c r="V332" s="656" t="str">
        <f>+VLOOKUP($L332,Data_Validation!$A:$D,4,0)</f>
        <v>Honoraires</v>
      </c>
      <c r="W332" s="656" t="str">
        <f>+VLOOKUP($L332,Data_Validation!$A:$E,5,0)</f>
        <v>$</v>
      </c>
      <c r="X332" s="656">
        <f>+VLOOKUP($L332,Data_Validation!$A:$F,6,0)</f>
        <v>0</v>
      </c>
    </row>
    <row r="333" spans="1:24" ht="15.75" customHeight="1">
      <c r="A333" s="1329" t="s">
        <v>1158</v>
      </c>
      <c r="B333" s="1329" t="s">
        <v>2535</v>
      </c>
      <c r="C333" s="1331">
        <v>396.63</v>
      </c>
      <c r="D333" s="1331">
        <v>464.11</v>
      </c>
      <c r="E333" s="1331">
        <v>860.74</v>
      </c>
      <c r="F333" s="1329" t="s">
        <v>1154</v>
      </c>
      <c r="G333" s="1329" t="s">
        <v>1242</v>
      </c>
      <c r="H333" s="1329" t="s">
        <v>3942</v>
      </c>
      <c r="I333" s="1284"/>
      <c r="J333" s="1284"/>
      <c r="K333" s="1284"/>
      <c r="L333" s="653" t="str">
        <f t="shared" si="181"/>
        <v>6503</v>
      </c>
      <c r="M333" s="654" t="str">
        <f t="shared" si="182"/>
        <v>RELAT. A LA CLIENTELE &amp; AJUST.</v>
      </c>
      <c r="N333" s="655">
        <f>+IF(OR($Q333=Parametres!$G$2,$Q333=Parametres!$G$3),I333,C333)</f>
        <v>396.63</v>
      </c>
      <c r="O333" s="655">
        <f>+IF(OR($Q333=Parametres!$G$2,$Q333=Parametres!$G$3),J333,D333)</f>
        <v>464.11</v>
      </c>
      <c r="P333" s="655">
        <f>+IF(OR($Q333=Parametres!$G$2,$Q333=Parametres!$G$3),K333,E333)</f>
        <v>860.74</v>
      </c>
      <c r="Q333" s="654" t="str">
        <f t="shared" si="183"/>
        <v>7-Dépenses</v>
      </c>
      <c r="R333" s="653" t="str">
        <f t="shared" si="184"/>
        <v>6112</v>
      </c>
      <c r="S333" s="654" t="str">
        <f t="shared" si="185"/>
        <v>_</v>
      </c>
      <c r="T333" s="656" t="str">
        <f>+VLOOKUP($L333,Data_Validation!$A:$D,1,0)</f>
        <v>6503</v>
      </c>
      <c r="U333" s="656" t="str">
        <f>+VLOOKUP($L333,Data_Validation!$A:$D,3,0)</f>
        <v>Carrosserie</v>
      </c>
      <c r="V333" s="656" t="str">
        <f>+VLOOKUP($L333,Data_Validation!$A:$D,4,0)</f>
        <v>Service gratuit 2</v>
      </c>
      <c r="W333" s="656" t="str">
        <f>+VLOOKUP($L333,Data_Validation!$A:$E,5,0)</f>
        <v>$</v>
      </c>
      <c r="X333" s="656">
        <f>+VLOOKUP($L333,Data_Validation!$A:$F,6,0)</f>
        <v>0</v>
      </c>
    </row>
    <row r="334" spans="1:24" ht="15.75" customHeight="1">
      <c r="A334" s="1329" t="s">
        <v>1166</v>
      </c>
      <c r="B334" s="1329" t="s">
        <v>2541</v>
      </c>
      <c r="C334" s="1331">
        <v>0.11</v>
      </c>
      <c r="D334" s="1331">
        <v>545.44000000000005</v>
      </c>
      <c r="E334" s="1331">
        <v>545.54999999999995</v>
      </c>
      <c r="F334" s="1329" t="s">
        <v>1154</v>
      </c>
      <c r="G334" s="1329" t="s">
        <v>1167</v>
      </c>
      <c r="H334" s="1329" t="s">
        <v>3942</v>
      </c>
      <c r="I334" s="1283"/>
      <c r="J334" s="1283"/>
      <c r="K334" s="1283"/>
      <c r="L334" s="653" t="str">
        <f t="shared" si="181"/>
        <v>6514</v>
      </c>
      <c r="M334" s="654" t="str">
        <f t="shared" si="182"/>
        <v>PUBLICITE</v>
      </c>
      <c r="N334" s="655">
        <f>+IF(OR($Q334=Parametres!$G$2,$Q334=Parametres!$G$3),I334,C334)</f>
        <v>0.11</v>
      </c>
      <c r="O334" s="655">
        <f>+IF(OR($Q334=Parametres!$G$2,$Q334=Parametres!$G$3),J334,D334)</f>
        <v>545.44000000000005</v>
      </c>
      <c r="P334" s="655">
        <f>+IF(OR($Q334=Parametres!$G$2,$Q334=Parametres!$G$3),K334,E334)</f>
        <v>545.54999999999995</v>
      </c>
      <c r="Q334" s="654" t="str">
        <f t="shared" si="183"/>
        <v>7-Dépenses</v>
      </c>
      <c r="R334" s="653" t="str">
        <f t="shared" si="184"/>
        <v>6114</v>
      </c>
      <c r="S334" s="654" t="str">
        <f t="shared" si="185"/>
        <v>_</v>
      </c>
      <c r="T334" s="656" t="str">
        <f>+VLOOKUP($L334,Data_Validation!$A:$D,1,0)</f>
        <v>6514</v>
      </c>
      <c r="U334" s="656" t="str">
        <f>+VLOOKUP($L334,Data_Validation!$A:$D,3,0)</f>
        <v>Carrosserie</v>
      </c>
      <c r="V334" s="656" t="str">
        <f>+VLOOKUP($L334,Data_Validation!$A:$D,4,0)</f>
        <v>Publicité 2</v>
      </c>
      <c r="W334" s="656" t="str">
        <f>+VLOOKUP($L334,Data_Validation!$A:$E,5,0)</f>
        <v>$</v>
      </c>
      <c r="X334" s="656">
        <f>+VLOOKUP($L334,Data_Validation!$A:$F,6,0)</f>
        <v>0</v>
      </c>
    </row>
    <row r="335" spans="1:24" ht="15" customHeight="1">
      <c r="A335" s="1329" t="s">
        <v>3961</v>
      </c>
      <c r="B335" s="1329" t="s">
        <v>2547</v>
      </c>
      <c r="C335" s="1331">
        <v>336.57</v>
      </c>
      <c r="D335" s="1331">
        <v>316.52</v>
      </c>
      <c r="E335" s="1331">
        <v>653.09</v>
      </c>
      <c r="F335" s="1329" t="s">
        <v>1154</v>
      </c>
      <c r="G335" s="1329" t="s">
        <v>1170</v>
      </c>
      <c r="H335" s="1329" t="s">
        <v>3942</v>
      </c>
      <c r="I335" s="1283"/>
      <c r="J335" s="1283"/>
      <c r="K335" s="1283"/>
      <c r="L335" s="653" t="str">
        <f t="shared" si="181"/>
        <v>6521</v>
      </c>
      <c r="M335" s="654" t="str">
        <f t="shared" si="182"/>
        <v>SALAIRES - DIRECTION GENERALE</v>
      </c>
      <c r="N335" s="655">
        <f>+IF(OR($Q335=Parametres!$G$2,$Q335=Parametres!$G$3),I335,C335)</f>
        <v>336.57</v>
      </c>
      <c r="O335" s="655">
        <f>+IF(OR($Q335=Parametres!$G$2,$Q335=Parametres!$G$3),J335,D335)</f>
        <v>316.52</v>
      </c>
      <c r="P335" s="655">
        <f>+IF(OR($Q335=Parametres!$G$2,$Q335=Parametres!$G$3),K335,E335)</f>
        <v>653.09</v>
      </c>
      <c r="Q335" s="654" t="str">
        <f t="shared" si="183"/>
        <v>7-Dépenses</v>
      </c>
      <c r="R335" s="653" t="str">
        <f t="shared" si="184"/>
        <v>6121</v>
      </c>
      <c r="S335" s="654" t="str">
        <f t="shared" si="185"/>
        <v>_</v>
      </c>
      <c r="T335" s="656" t="str">
        <f>+VLOOKUP($L335,Data_Validation!$A:$D,1,0)</f>
        <v>6521</v>
      </c>
      <c r="U335" s="656" t="str">
        <f>+VLOOKUP($L335,Data_Validation!$A:$D,3,0)</f>
        <v>Carrosserie</v>
      </c>
      <c r="V335" s="656" t="str">
        <f>+VLOOKUP($L335,Data_Validation!$A:$D,4,0)</f>
        <v>Salaires propriétaire</v>
      </c>
      <c r="W335" s="656" t="str">
        <f>+VLOOKUP($L335,Data_Validation!$A:$E,5,0)</f>
        <v>$</v>
      </c>
      <c r="X335" s="656">
        <f>+VLOOKUP($L335,Data_Validation!$A:$F,6,0)</f>
        <v>0</v>
      </c>
    </row>
    <row r="336" spans="1:24" ht="15" customHeight="1">
      <c r="A336" s="1329" t="s">
        <v>1171</v>
      </c>
      <c r="B336" s="1329" t="s">
        <v>2550</v>
      </c>
      <c r="C336" s="1331">
        <v>901.88</v>
      </c>
      <c r="D336" s="1331">
        <v>70</v>
      </c>
      <c r="E336" s="1331">
        <v>971.88</v>
      </c>
      <c r="F336" s="1329" t="s">
        <v>1154</v>
      </c>
      <c r="G336" s="1329" t="s">
        <v>1172</v>
      </c>
      <c r="H336" s="1329" t="s">
        <v>3942</v>
      </c>
      <c r="I336" s="1283"/>
      <c r="J336" s="1283"/>
      <c r="K336" s="1283"/>
      <c r="L336" s="653" t="str">
        <f t="shared" si="181"/>
        <v>6522</v>
      </c>
      <c r="M336" s="654" t="str">
        <f t="shared" si="182"/>
        <v>SAL SUPERVISION / GERANT</v>
      </c>
      <c r="N336" s="655">
        <f>+IF(OR($Q336=Parametres!$G$2,$Q336=Parametres!$G$3),I336,C336)</f>
        <v>901.88</v>
      </c>
      <c r="O336" s="655">
        <f>+IF(OR($Q336=Parametres!$G$2,$Q336=Parametres!$G$3),J336,D336)</f>
        <v>70</v>
      </c>
      <c r="P336" s="655">
        <f>+IF(OR($Q336=Parametres!$G$2,$Q336=Parametres!$G$3),K336,E336)</f>
        <v>971.88</v>
      </c>
      <c r="Q336" s="654" t="str">
        <f t="shared" si="183"/>
        <v>7-Dépenses</v>
      </c>
      <c r="R336" s="653" t="str">
        <f t="shared" si="184"/>
        <v>6122</v>
      </c>
      <c r="S336" s="654" t="str">
        <f t="shared" si="185"/>
        <v>_</v>
      </c>
      <c r="T336" s="656" t="str">
        <f>+VLOOKUP($L336,Data_Validation!$A:$D,1,0)</f>
        <v>6522</v>
      </c>
      <c r="U336" s="656" t="str">
        <f>+VLOOKUP($L336,Data_Validation!$A:$D,3,0)</f>
        <v>Carrosserie</v>
      </c>
      <c r="V336" s="656" t="str">
        <f>+VLOOKUP($L336,Data_Validation!$A:$D,4,0)</f>
        <v>Salaires cadres</v>
      </c>
      <c r="W336" s="656" t="str">
        <f>+VLOOKUP($L336,Data_Validation!$A:$E,5,0)</f>
        <v>$</v>
      </c>
      <c r="X336" s="656">
        <f>+VLOOKUP($L336,Data_Validation!$A:$F,6,0)</f>
        <v>0</v>
      </c>
    </row>
    <row r="337" spans="1:24" ht="15" customHeight="1">
      <c r="A337" s="1329" t="s">
        <v>1244</v>
      </c>
      <c r="B337" s="1329" t="s">
        <v>2553</v>
      </c>
      <c r="C337" s="1331">
        <v>6755.42</v>
      </c>
      <c r="D337" s="1331">
        <v>5807.25</v>
      </c>
      <c r="E337" s="1331">
        <v>12562.67</v>
      </c>
      <c r="F337" s="1329" t="s">
        <v>1154</v>
      </c>
      <c r="G337" s="1329" t="s">
        <v>1174</v>
      </c>
      <c r="H337" s="1329" t="s">
        <v>3942</v>
      </c>
      <c r="I337" s="1283"/>
      <c r="J337" s="1283"/>
      <c r="K337" s="1283"/>
      <c r="L337" s="653" t="str">
        <f t="shared" si="181"/>
        <v>6523</v>
      </c>
      <c r="M337" s="654" t="str">
        <f t="shared" si="182"/>
        <v>SAL. &amp; RENUM. CLERICAL</v>
      </c>
      <c r="N337" s="655">
        <f>+IF(OR($Q337=Parametres!$G$2,$Q337=Parametres!$G$3),I337,C337)</f>
        <v>6755.42</v>
      </c>
      <c r="O337" s="655">
        <f>+IF(OR($Q337=Parametres!$G$2,$Q337=Parametres!$G$3),J337,D337)</f>
        <v>5807.25</v>
      </c>
      <c r="P337" s="655">
        <f>+IF(OR($Q337=Parametres!$G$2,$Q337=Parametres!$G$3),K337,E337)</f>
        <v>12562.67</v>
      </c>
      <c r="Q337" s="654" t="str">
        <f t="shared" si="183"/>
        <v>7-Dépenses</v>
      </c>
      <c r="R337" s="653" t="str">
        <f t="shared" si="184"/>
        <v>6123</v>
      </c>
      <c r="S337" s="654" t="str">
        <f t="shared" si="185"/>
        <v>_</v>
      </c>
      <c r="T337" s="656" t="str">
        <f>+VLOOKUP($L337,Data_Validation!$A:$D,1,0)</f>
        <v>6523</v>
      </c>
      <c r="U337" s="656" t="str">
        <f>+VLOOKUP($L337,Data_Validation!$A:$D,3,0)</f>
        <v>Carrosserie</v>
      </c>
      <c r="V337" s="656" t="str">
        <f>+VLOOKUP($L337,Data_Validation!$A:$D,4,0)</f>
        <v>Salaires commis</v>
      </c>
      <c r="W337" s="656" t="str">
        <f>+VLOOKUP($L337,Data_Validation!$A:$E,5,0)</f>
        <v>$</v>
      </c>
      <c r="X337" s="656">
        <f>+VLOOKUP($L337,Data_Validation!$A:$F,6,0)</f>
        <v>0</v>
      </c>
    </row>
    <row r="338" spans="1:24" ht="15.75" customHeight="1">
      <c r="A338" s="1329" t="s">
        <v>1175</v>
      </c>
      <c r="B338" s="1329" t="s">
        <v>2556</v>
      </c>
      <c r="C338" s="1331">
        <v>0.08</v>
      </c>
      <c r="D338" s="1331">
        <v>0</v>
      </c>
      <c r="E338" s="1331">
        <v>0.08</v>
      </c>
      <c r="F338" s="1329" t="s">
        <v>1154</v>
      </c>
      <c r="G338" s="1329" t="s">
        <v>1176</v>
      </c>
      <c r="H338" s="1329" t="s">
        <v>3942</v>
      </c>
      <c r="I338" s="1283"/>
      <c r="J338" s="1283"/>
      <c r="K338" s="1283"/>
      <c r="L338" s="653" t="str">
        <f t="shared" si="181"/>
        <v>6524</v>
      </c>
      <c r="M338" s="654" t="str">
        <f t="shared" si="182"/>
        <v>SALAIRES &amp; RENUM. - AUTRES</v>
      </c>
      <c r="N338" s="655">
        <f>+IF(OR($Q338=Parametres!$G$2,$Q338=Parametres!$G$3),I338,C338)</f>
        <v>0.08</v>
      </c>
      <c r="O338" s="659">
        <f>+IF(OR($Q338=Parametres!$G$2,$Q338=Parametres!$G$3),J338,D338)</f>
        <v>0</v>
      </c>
      <c r="P338" s="655">
        <f>+IF(OR($Q338=Parametres!$G$2,$Q338=Parametres!$G$3),K338,E338)</f>
        <v>0.08</v>
      </c>
      <c r="Q338" s="654" t="str">
        <f t="shared" si="183"/>
        <v>7-Dépenses</v>
      </c>
      <c r="R338" s="653" t="str">
        <f t="shared" si="184"/>
        <v>6124</v>
      </c>
      <c r="S338" s="654" t="str">
        <f t="shared" si="185"/>
        <v>_</v>
      </c>
      <c r="T338" s="656" t="str">
        <f>+VLOOKUP($L338,Data_Validation!$A:$D,1,0)</f>
        <v>6524</v>
      </c>
      <c r="U338" s="656" t="str">
        <f>+VLOOKUP($L338,Data_Validation!$A:$D,3,0)</f>
        <v>Carrosserie</v>
      </c>
      <c r="V338" s="656" t="str">
        <f>+VLOOKUP($L338,Data_Validation!$A:$D,4,0)</f>
        <v>Salaires autres</v>
      </c>
      <c r="W338" s="656" t="str">
        <f>+VLOOKUP($L338,Data_Validation!$A:$E,5,0)</f>
        <v>$</v>
      </c>
      <c r="X338" s="656">
        <f>+VLOOKUP($L338,Data_Validation!$A:$F,6,0)</f>
        <v>0</v>
      </c>
    </row>
    <row r="339" spans="1:24" ht="15" customHeight="1">
      <c r="A339" s="1329" t="s">
        <v>1229</v>
      </c>
      <c r="B339" s="1329" t="s">
        <v>2562</v>
      </c>
      <c r="C339" s="1331">
        <v>1275.55</v>
      </c>
      <c r="D339" s="1331">
        <v>40.94</v>
      </c>
      <c r="E339" s="1331">
        <v>1316.49</v>
      </c>
      <c r="F339" s="1329" t="s">
        <v>1154</v>
      </c>
      <c r="G339" s="1329" t="s">
        <v>1178</v>
      </c>
      <c r="H339" s="1329" t="s">
        <v>3942</v>
      </c>
      <c r="I339" s="1283"/>
      <c r="J339" s="1283"/>
      <c r="K339" s="1283"/>
      <c r="L339" s="653" t="str">
        <f t="shared" si="181"/>
        <v>6529</v>
      </c>
      <c r="M339" s="654" t="str">
        <f t="shared" si="182"/>
        <v>ABS.,VACANCES &amp; SAL. JOURS FER</v>
      </c>
      <c r="N339" s="655">
        <f>+IF(OR($Q339=Parametres!$G$2,$Q339=Parametres!$G$3),I339,C339)</f>
        <v>1275.55</v>
      </c>
      <c r="O339" s="655">
        <f>+IF(OR($Q339=Parametres!$G$2,$Q339=Parametres!$G$3),J339,D339)</f>
        <v>40.94</v>
      </c>
      <c r="P339" s="655">
        <f>+IF(OR($Q339=Parametres!$G$2,$Q339=Parametres!$G$3),K339,E339)</f>
        <v>1316.49</v>
      </c>
      <c r="Q339" s="654" t="str">
        <f t="shared" si="183"/>
        <v>7-Dépenses</v>
      </c>
      <c r="R339" s="653" t="str">
        <f t="shared" si="184"/>
        <v>6129</v>
      </c>
      <c r="S339" s="654" t="str">
        <f t="shared" si="185"/>
        <v>_</v>
      </c>
      <c r="T339" s="656" t="str">
        <f>+VLOOKUP($L339,Data_Validation!$A:$D,1,0)</f>
        <v>6529</v>
      </c>
      <c r="U339" s="656" t="str">
        <f>+VLOOKUP($L339,Data_Validation!$A:$D,3,0)</f>
        <v>Carrosserie</v>
      </c>
      <c r="V339" s="656" t="str">
        <f>+VLOOKUP($L339,Data_Validation!$A:$D,4,0)</f>
        <v>Salaires en absences</v>
      </c>
      <c r="W339" s="656" t="str">
        <f>+VLOOKUP($L339,Data_Validation!$A:$E,5,0)</f>
        <v>$</v>
      </c>
      <c r="X339" s="656">
        <f>+VLOOKUP($L339,Data_Validation!$A:$F,6,0)</f>
        <v>0</v>
      </c>
    </row>
    <row r="340" spans="1:24" ht="15" customHeight="1">
      <c r="A340" s="1329" t="s">
        <v>1179</v>
      </c>
      <c r="B340" s="1329" t="s">
        <v>2565</v>
      </c>
      <c r="C340" s="1331">
        <v>360.07</v>
      </c>
      <c r="D340" s="1331">
        <v>262.89</v>
      </c>
      <c r="E340" s="1331">
        <v>622.96</v>
      </c>
      <c r="F340" s="1329" t="s">
        <v>1154</v>
      </c>
      <c r="G340" s="1329" t="s">
        <v>1180</v>
      </c>
      <c r="H340" s="1329" t="s">
        <v>3942</v>
      </c>
      <c r="I340" s="1283"/>
      <c r="J340" s="1283"/>
      <c r="K340" s="1283"/>
      <c r="L340" s="653" t="str">
        <f t="shared" si="181"/>
        <v>6531</v>
      </c>
      <c r="M340" s="654" t="str">
        <f t="shared" si="182"/>
        <v>CSST</v>
      </c>
      <c r="N340" s="655">
        <f>+IF(OR($Q340=Parametres!$G$2,$Q340=Parametres!$G$3),I340,C340)</f>
        <v>360.07</v>
      </c>
      <c r="O340" s="659">
        <f>+IF(OR($Q340=Parametres!$G$2,$Q340=Parametres!$G$3),J340,D340)</f>
        <v>262.89</v>
      </c>
      <c r="P340" s="655">
        <f>+IF(OR($Q340=Parametres!$G$2,$Q340=Parametres!$G$3),K340,E340)</f>
        <v>622.96</v>
      </c>
      <c r="Q340" s="654" t="str">
        <f t="shared" si="183"/>
        <v>7-Dépenses</v>
      </c>
      <c r="R340" s="653" t="str">
        <f t="shared" si="184"/>
        <v>6131</v>
      </c>
      <c r="S340" s="654" t="str">
        <f t="shared" si="185"/>
        <v>_</v>
      </c>
      <c r="T340" s="656" t="str">
        <f>+VLOOKUP($L340,Data_Validation!$A:$D,1,0)</f>
        <v>6531</v>
      </c>
      <c r="U340" s="656" t="str">
        <f>+VLOOKUP($L340,Data_Validation!$A:$D,3,0)</f>
        <v>Carrosserie</v>
      </c>
      <c r="V340" s="656" t="str">
        <f>+VLOOKUP($L340,Data_Validation!$A:$D,4,0)</f>
        <v>Csst</v>
      </c>
      <c r="W340" s="656" t="str">
        <f>+VLOOKUP($L340,Data_Validation!$A:$E,5,0)</f>
        <v>$</v>
      </c>
      <c r="X340" s="656">
        <f>+VLOOKUP($L340,Data_Validation!$A:$F,6,0)</f>
        <v>0</v>
      </c>
    </row>
    <row r="341" spans="1:24" ht="15" customHeight="1">
      <c r="A341" s="1329" t="s">
        <v>1181</v>
      </c>
      <c r="B341" s="1329" t="s">
        <v>2568</v>
      </c>
      <c r="C341" s="1331">
        <v>2135.62</v>
      </c>
      <c r="D341" s="1331">
        <v>622.03</v>
      </c>
      <c r="E341" s="1331">
        <v>2757.65</v>
      </c>
      <c r="F341" s="1329" t="s">
        <v>1154</v>
      </c>
      <c r="G341" s="1329" t="s">
        <v>1182</v>
      </c>
      <c r="H341" s="1329" t="s">
        <v>3942</v>
      </c>
      <c r="I341" s="1283"/>
      <c r="J341" s="1283"/>
      <c r="K341" s="1283"/>
      <c r="L341" s="653" t="str">
        <f t="shared" si="181"/>
        <v>6532</v>
      </c>
      <c r="M341" s="654" t="str">
        <f t="shared" si="182"/>
        <v>RRQ RAMQ AC</v>
      </c>
      <c r="N341" s="655">
        <f>+IF(OR($Q341=Parametres!$G$2,$Q341=Parametres!$G$3),I341,C341)</f>
        <v>2135.62</v>
      </c>
      <c r="O341" s="659">
        <f>+IF(OR($Q341=Parametres!$G$2,$Q341=Parametres!$G$3),J341,D341)</f>
        <v>622.03</v>
      </c>
      <c r="P341" s="655">
        <f>+IF(OR($Q341=Parametres!$G$2,$Q341=Parametres!$G$3),K341,E341)</f>
        <v>2757.65</v>
      </c>
      <c r="Q341" s="654" t="str">
        <f t="shared" si="183"/>
        <v>7-Dépenses</v>
      </c>
      <c r="R341" s="653" t="str">
        <f t="shared" si="184"/>
        <v>6132</v>
      </c>
      <c r="S341" s="654" t="str">
        <f t="shared" si="185"/>
        <v>_</v>
      </c>
      <c r="T341" s="656" t="str">
        <f>+VLOOKUP($L341,Data_Validation!$A:$D,1,0)</f>
        <v>6532</v>
      </c>
      <c r="U341" s="656" t="str">
        <f>+VLOOKUP($L341,Data_Validation!$A:$D,3,0)</f>
        <v>Carrosserie</v>
      </c>
      <c r="V341" s="656" t="str">
        <f>+VLOOKUP($L341,Data_Validation!$A:$D,4,0)</f>
        <v>Déduction à la source</v>
      </c>
      <c r="W341" s="656" t="str">
        <f>+VLOOKUP($L341,Data_Validation!$A:$E,5,0)</f>
        <v>$</v>
      </c>
      <c r="X341" s="656">
        <f>+VLOOKUP($L341,Data_Validation!$A:$F,6,0)</f>
        <v>0</v>
      </c>
    </row>
    <row r="342" spans="1:24" ht="15" customHeight="1">
      <c r="A342" s="1329" t="s">
        <v>1231</v>
      </c>
      <c r="B342" s="1329" t="s">
        <v>2571</v>
      </c>
      <c r="C342" s="1331">
        <v>334.26</v>
      </c>
      <c r="D342" s="1331">
        <v>347.56</v>
      </c>
      <c r="E342" s="1331">
        <v>681.82</v>
      </c>
      <c r="F342" s="1329" t="s">
        <v>1154</v>
      </c>
      <c r="G342" s="1329" t="s">
        <v>1186</v>
      </c>
      <c r="H342" s="1329" t="s">
        <v>3942</v>
      </c>
      <c r="I342" s="1283"/>
      <c r="J342" s="1283"/>
      <c r="K342" s="1283"/>
      <c r="L342" s="653" t="str">
        <f t="shared" si="181"/>
        <v>6539</v>
      </c>
      <c r="M342" s="654" t="str">
        <f t="shared" si="182"/>
        <v>ASSURANCE GROUPE</v>
      </c>
      <c r="N342" s="655">
        <f>+IF(OR($Q342=Parametres!$G$2,$Q342=Parametres!$G$3),I342,C342)</f>
        <v>334.26</v>
      </c>
      <c r="O342" s="655">
        <f>+IF(OR($Q342=Parametres!$G$2,$Q342=Parametres!$G$3),J342,D342)</f>
        <v>347.56</v>
      </c>
      <c r="P342" s="655">
        <f>+IF(OR($Q342=Parametres!$G$2,$Q342=Parametres!$G$3),K342,E342)</f>
        <v>681.82</v>
      </c>
      <c r="Q342" s="654" t="str">
        <f t="shared" si="183"/>
        <v>7-Dépenses</v>
      </c>
      <c r="R342" s="653" t="str">
        <f t="shared" si="184"/>
        <v>6139</v>
      </c>
      <c r="S342" s="654" t="str">
        <f t="shared" si="185"/>
        <v>_</v>
      </c>
      <c r="T342" s="656" t="str">
        <f>+VLOOKUP($L342,Data_Validation!$A:$D,1,0)</f>
        <v>6539</v>
      </c>
      <c r="U342" s="656" t="str">
        <f>+VLOOKUP($L342,Data_Validation!$A:$D,3,0)</f>
        <v>Carrosserie</v>
      </c>
      <c r="V342" s="656" t="str">
        <f>+VLOOKUP($L342,Data_Validation!$A:$D,4,0)</f>
        <v>Bénéfices marginaux</v>
      </c>
      <c r="W342" s="656" t="str">
        <f>+VLOOKUP($L342,Data_Validation!$A:$E,5,0)</f>
        <v>$</v>
      </c>
      <c r="X342" s="656">
        <f>+VLOOKUP($L342,Data_Validation!$A:$F,6,0)</f>
        <v>0</v>
      </c>
    </row>
    <row r="343" spans="1:24" ht="15.75" customHeight="1">
      <c r="A343" s="1329" t="s">
        <v>1191</v>
      </c>
      <c r="B343" s="1329" t="s">
        <v>2583</v>
      </c>
      <c r="C343" s="1331">
        <v>22.33</v>
      </c>
      <c r="D343" s="1331">
        <v>148.69</v>
      </c>
      <c r="E343" s="1331">
        <v>171.02</v>
      </c>
      <c r="F343" s="1329" t="s">
        <v>1154</v>
      </c>
      <c r="G343" s="1329" t="s">
        <v>1192</v>
      </c>
      <c r="H343" s="1329" t="s">
        <v>3942</v>
      </c>
      <c r="I343" s="1283"/>
      <c r="J343" s="1283"/>
      <c r="K343" s="1283"/>
      <c r="L343" s="653" t="str">
        <f t="shared" si="181"/>
        <v>6544</v>
      </c>
      <c r="M343" s="654" t="str">
        <f t="shared" si="182"/>
        <v>FORMATION</v>
      </c>
      <c r="N343" s="655">
        <f>+IF(OR($Q343=Parametres!$G$2,$Q343=Parametres!$G$3),I343,C343)</f>
        <v>22.33</v>
      </c>
      <c r="O343" s="655">
        <f>+IF(OR($Q343=Parametres!$G$2,$Q343=Parametres!$G$3),J343,D343)</f>
        <v>148.69</v>
      </c>
      <c r="P343" s="655">
        <f>+IF(OR($Q343=Parametres!$G$2,$Q343=Parametres!$G$3),K343,E343)</f>
        <v>171.02</v>
      </c>
      <c r="Q343" s="654" t="str">
        <f t="shared" si="183"/>
        <v>7-Dépenses</v>
      </c>
      <c r="R343" s="653" t="str">
        <f t="shared" si="184"/>
        <v>6144</v>
      </c>
      <c r="S343" s="654" t="str">
        <f t="shared" si="185"/>
        <v>_</v>
      </c>
      <c r="T343" s="656" t="str">
        <f>+VLOOKUP($L343,Data_Validation!$A:$D,1,0)</f>
        <v>6544</v>
      </c>
      <c r="U343" s="656" t="str">
        <f>+VLOOKUP($L343,Data_Validation!$A:$D,3,0)</f>
        <v>Carrosserie</v>
      </c>
      <c r="V343" s="656" t="str">
        <f>+VLOOKUP($L343,Data_Validation!$A:$D,4,0)</f>
        <v>Formation</v>
      </c>
      <c r="W343" s="656" t="str">
        <f>+VLOOKUP($L343,Data_Validation!$A:$E,5,0)</f>
        <v>$</v>
      </c>
      <c r="X343" s="656">
        <f>+VLOOKUP($L343,Data_Validation!$A:$F,6,0)</f>
        <v>0</v>
      </c>
    </row>
    <row r="344" spans="1:24" ht="15" customHeight="1">
      <c r="A344" s="1329" t="s">
        <v>1193</v>
      </c>
      <c r="B344" s="1329" t="s">
        <v>2586</v>
      </c>
      <c r="C344" s="1331">
        <v>207.58</v>
      </c>
      <c r="D344" s="1331">
        <v>116.3</v>
      </c>
      <c r="E344" s="1331">
        <v>323.88</v>
      </c>
      <c r="F344" s="1329" t="s">
        <v>1154</v>
      </c>
      <c r="G344" s="1329" t="s">
        <v>1194</v>
      </c>
      <c r="H344" s="1329" t="s">
        <v>3942</v>
      </c>
      <c r="I344" s="1283"/>
      <c r="J344" s="1283"/>
      <c r="K344" s="1283"/>
      <c r="L344" s="653" t="str">
        <f t="shared" si="181"/>
        <v>6545</v>
      </c>
      <c r="M344" s="654" t="str">
        <f t="shared" si="182"/>
        <v>VEHICULE DE COMPAGNIE - DEPENS</v>
      </c>
      <c r="N344" s="655">
        <f>+IF(OR($Q344=Parametres!$G$2,$Q344=Parametres!$G$3),I344,C344)</f>
        <v>207.58</v>
      </c>
      <c r="O344" s="659">
        <f>+IF(OR($Q344=Parametres!$G$2,$Q344=Parametres!$G$3),J344,D344)</f>
        <v>116.3</v>
      </c>
      <c r="P344" s="655">
        <f>+IF(OR($Q344=Parametres!$G$2,$Q344=Parametres!$G$3),K344,E344)</f>
        <v>323.88</v>
      </c>
      <c r="Q344" s="654" t="str">
        <f t="shared" si="183"/>
        <v>7-Dépenses</v>
      </c>
      <c r="R344" s="653" t="str">
        <f t="shared" si="184"/>
        <v>6145</v>
      </c>
      <c r="S344" s="654" t="str">
        <f t="shared" si="185"/>
        <v>_</v>
      </c>
      <c r="T344" s="656" t="str">
        <f>+VLOOKUP($L344,Data_Validation!$A:$D,1,0)</f>
        <v>6545</v>
      </c>
      <c r="U344" s="656" t="str">
        <f>+VLOOKUP($L344,Data_Validation!$A:$D,3,0)</f>
        <v>Carrosserie</v>
      </c>
      <c r="V344" s="656" t="str">
        <f>+VLOOKUP($L344,Data_Validation!$A:$D,4,0)</f>
        <v>Frais véhicules de cie</v>
      </c>
      <c r="W344" s="656" t="str">
        <f>+VLOOKUP($L344,Data_Validation!$A:$E,5,0)</f>
        <v>$</v>
      </c>
      <c r="X344" s="656">
        <f>+VLOOKUP($L344,Data_Validation!$A:$F,6,0)</f>
        <v>0</v>
      </c>
    </row>
    <row r="345" spans="1:24" ht="15" customHeight="1">
      <c r="A345" s="1329" t="s">
        <v>1195</v>
      </c>
      <c r="B345" s="1329" t="s">
        <v>2589</v>
      </c>
      <c r="C345" s="1331">
        <v>15.35</v>
      </c>
      <c r="D345" s="1331">
        <v>52.96</v>
      </c>
      <c r="E345" s="1331">
        <v>68.31</v>
      </c>
      <c r="F345" s="1329" t="s">
        <v>1154</v>
      </c>
      <c r="G345" s="1329" t="s">
        <v>1196</v>
      </c>
      <c r="H345" s="1329" t="s">
        <v>3942</v>
      </c>
      <c r="I345" s="1283"/>
      <c r="J345" s="1283"/>
      <c r="K345" s="1283"/>
      <c r="L345" s="653" t="str">
        <f t="shared" si="181"/>
        <v>6547</v>
      </c>
      <c r="M345" s="654" t="str">
        <f t="shared" si="182"/>
        <v>FRET/EXPRESS/TRANS. PAR CAMION</v>
      </c>
      <c r="N345" s="655">
        <f>+IF(OR($Q345=Parametres!$G$2,$Q345=Parametres!$G$3),I345,C345)</f>
        <v>15.35</v>
      </c>
      <c r="O345" s="655">
        <f>+IF(OR($Q345=Parametres!$G$2,$Q345=Parametres!$G$3),J345,D345)</f>
        <v>52.96</v>
      </c>
      <c r="P345" s="655">
        <f>+IF(OR($Q345=Parametres!$G$2,$Q345=Parametres!$G$3),K345,E345)</f>
        <v>68.31</v>
      </c>
      <c r="Q345" s="654" t="str">
        <f t="shared" si="183"/>
        <v>7-Dépenses</v>
      </c>
      <c r="R345" s="653" t="str">
        <f t="shared" si="184"/>
        <v>6147</v>
      </c>
      <c r="S345" s="654" t="str">
        <f t="shared" si="185"/>
        <v>_</v>
      </c>
      <c r="T345" s="656" t="str">
        <f>+VLOOKUP($L345,Data_Validation!$A:$D,1,0)</f>
        <v>6547</v>
      </c>
      <c r="U345" s="656" t="str">
        <f>+VLOOKUP($L345,Data_Validation!$A:$D,3,0)</f>
        <v>Carrosserie</v>
      </c>
      <c r="V345" s="656" t="str">
        <f>+VLOOKUP($L345,Data_Validation!$A:$D,4,0)</f>
        <v>Frais postaux</v>
      </c>
      <c r="W345" s="656" t="str">
        <f>+VLOOKUP($L345,Data_Validation!$A:$E,5,0)</f>
        <v>$</v>
      </c>
      <c r="X345" s="656">
        <f>+VLOOKUP($L345,Data_Validation!$A:$F,6,0)</f>
        <v>0</v>
      </c>
    </row>
    <row r="346" spans="1:24" ht="15" customHeight="1">
      <c r="A346" s="1329" t="s">
        <v>1197</v>
      </c>
      <c r="B346" s="1329" t="s">
        <v>2594</v>
      </c>
      <c r="C346" s="1331">
        <v>1340.85</v>
      </c>
      <c r="D346" s="1331">
        <v>872.34</v>
      </c>
      <c r="E346" s="1331">
        <v>2213.19</v>
      </c>
      <c r="F346" s="1329" t="s">
        <v>1154</v>
      </c>
      <c r="G346" s="1329" t="s">
        <v>1198</v>
      </c>
      <c r="H346" s="1329" t="s">
        <v>3942</v>
      </c>
      <c r="I346" s="1283"/>
      <c r="J346" s="1283"/>
      <c r="K346" s="1283"/>
      <c r="L346" s="653" t="str">
        <f t="shared" si="181"/>
        <v>6551</v>
      </c>
      <c r="M346" s="654" t="str">
        <f t="shared" si="182"/>
        <v>DEP. DU TRAITEMENT DES DONNEES</v>
      </c>
      <c r="N346" s="655">
        <f>+IF(OR($Q346=Parametres!$G$2,$Q346=Parametres!$G$3),I346,C346)</f>
        <v>1340.85</v>
      </c>
      <c r="O346" s="655">
        <f>+IF(OR($Q346=Parametres!$G$2,$Q346=Parametres!$G$3),J346,D346)</f>
        <v>872.34</v>
      </c>
      <c r="P346" s="655">
        <f>+IF(OR($Q346=Parametres!$G$2,$Q346=Parametres!$G$3),K346,E346)</f>
        <v>2213.19</v>
      </c>
      <c r="Q346" s="654" t="str">
        <f t="shared" si="183"/>
        <v>7-Dépenses</v>
      </c>
      <c r="R346" s="653" t="str">
        <f t="shared" si="184"/>
        <v>6151</v>
      </c>
      <c r="S346" s="654" t="str">
        <f t="shared" si="185"/>
        <v>_</v>
      </c>
      <c r="T346" s="656" t="str">
        <f>+VLOOKUP($L346,Data_Validation!$A:$D,1,0)</f>
        <v>6551</v>
      </c>
      <c r="U346" s="656" t="str">
        <f>+VLOOKUP($L346,Data_Validation!$A:$D,3,0)</f>
        <v>Carrosserie</v>
      </c>
      <c r="V346" s="656" t="str">
        <f>+VLOOKUP($L346,Data_Validation!$A:$D,4,0)</f>
        <v>Informatique</v>
      </c>
      <c r="W346" s="656" t="str">
        <f>+VLOOKUP($L346,Data_Validation!$A:$E,5,0)</f>
        <v>$</v>
      </c>
      <c r="X346" s="656">
        <f>+VLOOKUP($L346,Data_Validation!$A:$F,6,0)</f>
        <v>0</v>
      </c>
    </row>
    <row r="347" spans="1:24" ht="15.75" customHeight="1">
      <c r="A347" s="1329" t="s">
        <v>1199</v>
      </c>
      <c r="B347" s="1329" t="s">
        <v>2597</v>
      </c>
      <c r="C347" s="1331">
        <v>8.6199999999999992</v>
      </c>
      <c r="D347" s="1331">
        <v>22.42</v>
      </c>
      <c r="E347" s="1331">
        <v>31.04</v>
      </c>
      <c r="F347" s="1329" t="s">
        <v>1154</v>
      </c>
      <c r="G347" s="1329" t="s">
        <v>1200</v>
      </c>
      <c r="H347" s="1329" t="s">
        <v>3942</v>
      </c>
      <c r="I347" s="1283"/>
      <c r="J347" s="1283"/>
      <c r="K347" s="1283"/>
      <c r="L347" s="653" t="str">
        <f t="shared" si="181"/>
        <v>6552</v>
      </c>
      <c r="M347" s="654" t="str">
        <f t="shared" si="182"/>
        <v>PAPETERIE</v>
      </c>
      <c r="N347" s="655">
        <f>+IF(OR($Q347=Parametres!$G$2,$Q347=Parametres!$G$3),I347,C347)</f>
        <v>8.6199999999999992</v>
      </c>
      <c r="O347" s="655">
        <f>+IF(OR($Q347=Parametres!$G$2,$Q347=Parametres!$G$3),J347,D347)</f>
        <v>22.42</v>
      </c>
      <c r="P347" s="655">
        <f>+IF(OR($Q347=Parametres!$G$2,$Q347=Parametres!$G$3),K347,E347)</f>
        <v>31.04</v>
      </c>
      <c r="Q347" s="654" t="str">
        <f t="shared" si="183"/>
        <v>7-Dépenses</v>
      </c>
      <c r="R347" s="653" t="str">
        <f t="shared" si="184"/>
        <v>6152</v>
      </c>
      <c r="S347" s="654" t="str">
        <f t="shared" si="185"/>
        <v>_</v>
      </c>
      <c r="T347" s="656" t="str">
        <f>+VLOOKUP($L347,Data_Validation!$A:$D,1,0)</f>
        <v>6552</v>
      </c>
      <c r="U347" s="656" t="str">
        <f>+VLOOKUP($L347,Data_Validation!$A:$D,3,0)</f>
        <v>Carrosserie</v>
      </c>
      <c r="V347" s="656" t="str">
        <f>+VLOOKUP($L347,Data_Validation!$A:$D,4,0)</f>
        <v>Papeterie</v>
      </c>
      <c r="W347" s="656" t="str">
        <f>+VLOOKUP($L347,Data_Validation!$A:$E,5,0)</f>
        <v>$</v>
      </c>
      <c r="X347" s="656">
        <f>+VLOOKUP($L347,Data_Validation!$A:$F,6,0)</f>
        <v>0</v>
      </c>
    </row>
    <row r="348" spans="1:24" ht="15" customHeight="1">
      <c r="A348" s="1329" t="s">
        <v>1201</v>
      </c>
      <c r="B348" s="1329" t="s">
        <v>2600</v>
      </c>
      <c r="C348" s="1331">
        <v>71.47</v>
      </c>
      <c r="D348" s="1331">
        <v>35.119999999999997</v>
      </c>
      <c r="E348" s="1331">
        <v>106.59</v>
      </c>
      <c r="F348" s="1329" t="s">
        <v>1154</v>
      </c>
      <c r="G348" s="1329" t="s">
        <v>1202</v>
      </c>
      <c r="H348" s="1329" t="s">
        <v>3942</v>
      </c>
      <c r="I348" s="1283"/>
      <c r="J348" s="1283"/>
      <c r="K348" s="1283"/>
      <c r="L348" s="653" t="str">
        <f t="shared" si="181"/>
        <v>6553</v>
      </c>
      <c r="M348" s="654" t="str">
        <f t="shared" si="182"/>
        <v>TELEPHONE ET TELEX</v>
      </c>
      <c r="N348" s="655">
        <f>+IF(OR($Q348=Parametres!$G$2,$Q348=Parametres!$G$3),I348,C348)</f>
        <v>71.47</v>
      </c>
      <c r="O348" s="659">
        <f>+IF(OR($Q348=Parametres!$G$2,$Q348=Parametres!$G$3),J348,D348)</f>
        <v>35.119999999999997</v>
      </c>
      <c r="P348" s="655">
        <f>+IF(OR($Q348=Parametres!$G$2,$Q348=Parametres!$G$3),K348,E348)</f>
        <v>106.59</v>
      </c>
      <c r="Q348" s="654" t="str">
        <f t="shared" si="183"/>
        <v>7-Dépenses</v>
      </c>
      <c r="R348" s="653" t="str">
        <f t="shared" si="184"/>
        <v>6153</v>
      </c>
      <c r="S348" s="654" t="str">
        <f t="shared" si="185"/>
        <v>_</v>
      </c>
      <c r="T348" s="656" t="str">
        <f>+VLOOKUP($L348,Data_Validation!$A:$D,1,0)</f>
        <v>6553</v>
      </c>
      <c r="U348" s="656" t="str">
        <f>+VLOOKUP($L348,Data_Validation!$A:$D,3,0)</f>
        <v>Carrosserie</v>
      </c>
      <c r="V348" s="656" t="str">
        <f>+VLOOKUP($L348,Data_Validation!$A:$D,4,0)</f>
        <v>Téléphone</v>
      </c>
      <c r="W348" s="656" t="str">
        <f>+VLOOKUP($L348,Data_Validation!$A:$E,5,0)</f>
        <v>$</v>
      </c>
      <c r="X348" s="656">
        <f>+VLOOKUP($L348,Data_Validation!$A:$F,6,0)</f>
        <v>0</v>
      </c>
    </row>
    <row r="349" spans="1:24" ht="15" customHeight="1">
      <c r="A349" s="1329" t="s">
        <v>1203</v>
      </c>
      <c r="B349" s="1329" t="s">
        <v>2603</v>
      </c>
      <c r="C349" s="1331">
        <v>112.79</v>
      </c>
      <c r="D349" s="1331">
        <v>7.66</v>
      </c>
      <c r="E349" s="1331">
        <v>120.45</v>
      </c>
      <c r="F349" s="1329" t="s">
        <v>1154</v>
      </c>
      <c r="G349" s="1329" t="s">
        <v>1204</v>
      </c>
      <c r="H349" s="1329" t="s">
        <v>3942</v>
      </c>
      <c r="I349" s="1283"/>
      <c r="J349" s="1283"/>
      <c r="K349" s="1283"/>
      <c r="L349" s="653" t="str">
        <f t="shared" si="181"/>
        <v>6555</v>
      </c>
      <c r="M349" s="654" t="str">
        <f t="shared" si="182"/>
        <v>DEPENSES DIVERS</v>
      </c>
      <c r="N349" s="655">
        <f>+IF(OR($Q349=Parametres!$G$2,$Q349=Parametres!$G$3),I349,C349)</f>
        <v>112.79</v>
      </c>
      <c r="O349" s="655">
        <f>+IF(OR($Q349=Parametres!$G$2,$Q349=Parametres!$G$3),J349,D349)</f>
        <v>7.66</v>
      </c>
      <c r="P349" s="655">
        <f>+IF(OR($Q349=Parametres!$G$2,$Q349=Parametres!$G$3),K349,E349)</f>
        <v>120.45</v>
      </c>
      <c r="Q349" s="654" t="str">
        <f t="shared" si="183"/>
        <v>7-Dépenses</v>
      </c>
      <c r="R349" s="653" t="str">
        <f t="shared" si="184"/>
        <v>6155</v>
      </c>
      <c r="S349" s="654" t="str">
        <f t="shared" si="185"/>
        <v>_</v>
      </c>
      <c r="T349" s="656" t="str">
        <f>+VLOOKUP($L349,Data_Validation!$A:$D,1,0)</f>
        <v>6555</v>
      </c>
      <c r="U349" s="656" t="str">
        <f>+VLOOKUP($L349,Data_Validation!$A:$D,3,0)</f>
        <v>Carrosserie</v>
      </c>
      <c r="V349" s="656" t="str">
        <f>+VLOOKUP($L349,Data_Validation!$A:$D,4,0)</f>
        <v>Divers</v>
      </c>
      <c r="W349" s="656" t="str">
        <f>+VLOOKUP($L349,Data_Validation!$A:$E,5,0)</f>
        <v>$</v>
      </c>
      <c r="X349" s="656">
        <f>+VLOOKUP($L349,Data_Validation!$A:$F,6,0)</f>
        <v>0</v>
      </c>
    </row>
    <row r="350" spans="1:24" ht="15" customHeight="1">
      <c r="A350" s="1329" t="s">
        <v>1265</v>
      </c>
      <c r="B350" s="1329" t="s">
        <v>2606</v>
      </c>
      <c r="C350" s="1331">
        <v>94.01</v>
      </c>
      <c r="D350" s="1331">
        <v>134.09</v>
      </c>
      <c r="E350" s="1331">
        <v>228.1</v>
      </c>
      <c r="F350" s="1329" t="s">
        <v>1154</v>
      </c>
      <c r="G350" s="1329" t="s">
        <v>1206</v>
      </c>
      <c r="H350" s="1329" t="s">
        <v>3942</v>
      </c>
      <c r="I350" s="1283"/>
      <c r="J350" s="1283"/>
      <c r="K350" s="1283"/>
      <c r="L350" s="653" t="str">
        <f t="shared" si="181"/>
        <v>6556</v>
      </c>
      <c r="M350" s="654" t="str">
        <f t="shared" si="182"/>
        <v>FRAIS REPRESENTATION</v>
      </c>
      <c r="N350" s="655">
        <f>+IF(OR($Q350=Parametres!$G$2,$Q350=Parametres!$G$3),I350,C350)</f>
        <v>94.01</v>
      </c>
      <c r="O350" s="659">
        <f>+IF(OR($Q350=Parametres!$G$2,$Q350=Parametres!$G$3),J350,D350)</f>
        <v>134.09</v>
      </c>
      <c r="P350" s="655">
        <f>+IF(OR($Q350=Parametres!$G$2,$Q350=Parametres!$G$3),K350,E350)</f>
        <v>228.1</v>
      </c>
      <c r="Q350" s="654" t="str">
        <f t="shared" si="183"/>
        <v>7-Dépenses</v>
      </c>
      <c r="R350" s="653" t="str">
        <f t="shared" si="184"/>
        <v>6156</v>
      </c>
      <c r="S350" s="654" t="str">
        <f t="shared" si="185"/>
        <v>_</v>
      </c>
      <c r="T350" s="656" t="str">
        <f>+VLOOKUP($L350,Data_Validation!$A:$D,1,0)</f>
        <v>6556</v>
      </c>
      <c r="U350" s="656" t="str">
        <f>+VLOOKUP($L350,Data_Validation!$A:$D,3,0)</f>
        <v>Carrosserie</v>
      </c>
      <c r="V350" s="656" t="str">
        <f>+VLOOKUP($L350,Data_Validation!$A:$D,4,0)</f>
        <v>Frais de déplacement</v>
      </c>
      <c r="W350" s="656" t="str">
        <f>+VLOOKUP($L350,Data_Validation!$A:$E,5,0)</f>
        <v>$</v>
      </c>
      <c r="X350" s="656">
        <f>+VLOOKUP($L350,Data_Validation!$A:$F,6,0)</f>
        <v>0</v>
      </c>
    </row>
    <row r="351" spans="1:24" ht="15" customHeight="1">
      <c r="A351" s="1329" t="s">
        <v>1266</v>
      </c>
      <c r="B351" s="1329" t="s">
        <v>3397</v>
      </c>
      <c r="C351" s="1331">
        <v>183.52</v>
      </c>
      <c r="D351" s="1331">
        <v>337.12</v>
      </c>
      <c r="E351" s="1331">
        <v>520.64</v>
      </c>
      <c r="F351" s="1329" t="s">
        <v>1154</v>
      </c>
      <c r="G351" s="1329" t="s">
        <v>1267</v>
      </c>
      <c r="H351" s="1329" t="s">
        <v>3942</v>
      </c>
      <c r="I351" s="1283"/>
      <c r="J351" s="1283"/>
      <c r="K351" s="1283"/>
      <c r="L351" s="653" t="str">
        <f t="shared" si="181"/>
        <v>6557</v>
      </c>
      <c r="M351" s="654" t="str">
        <f t="shared" si="182"/>
        <v>FRAIS BANCAIRES - CARROSSERIE</v>
      </c>
      <c r="N351" s="655">
        <f>+IF(OR($Q351=Parametres!$G$2,$Q351=Parametres!$G$3),I351,C351)</f>
        <v>183.52</v>
      </c>
      <c r="O351" s="655">
        <f>+IF(OR($Q351=Parametres!$G$2,$Q351=Parametres!$G$3),J351,D351)</f>
        <v>337.12</v>
      </c>
      <c r="P351" s="655">
        <f>+IF(OR($Q351=Parametres!$G$2,$Q351=Parametres!$G$3),K351,E351)</f>
        <v>520.64</v>
      </c>
      <c r="Q351" s="654" t="str">
        <f t="shared" si="183"/>
        <v>7-Dépenses</v>
      </c>
      <c r="R351" s="653" t="str">
        <f t="shared" si="184"/>
        <v>655</v>
      </c>
      <c r="S351" s="654" t="str">
        <f t="shared" si="185"/>
        <v>_</v>
      </c>
      <c r="T351" s="656" t="str">
        <f>+VLOOKUP($L351,Data_Validation!$A:$D,1,0)</f>
        <v>6557</v>
      </c>
      <c r="U351" s="656" t="str">
        <f>+VLOOKUP($L351,Data_Validation!$A:$D,3,0)</f>
        <v>Carrosserie</v>
      </c>
      <c r="V351" s="656" t="str">
        <f>+VLOOKUP($L351,Data_Validation!$A:$D,4,0)</f>
        <v>Frais bancaires</v>
      </c>
      <c r="W351" s="656" t="str">
        <f>+VLOOKUP($L351,Data_Validation!$A:$E,5,0)</f>
        <v>$</v>
      </c>
      <c r="X351" s="656">
        <f>+VLOOKUP($L351,Data_Validation!$A:$F,6,0)</f>
        <v>0</v>
      </c>
    </row>
    <row r="352" spans="1:24" ht="15.75" customHeight="1">
      <c r="A352" s="1329" t="s">
        <v>1209</v>
      </c>
      <c r="B352" s="1329" t="s">
        <v>2609</v>
      </c>
      <c r="C352" s="1331">
        <v>1238.76</v>
      </c>
      <c r="D352" s="1331">
        <v>708.31</v>
      </c>
      <c r="E352" s="1331">
        <v>1947.07</v>
      </c>
      <c r="F352" s="1329" t="s">
        <v>1154</v>
      </c>
      <c r="G352" s="1329" t="s">
        <v>1210</v>
      </c>
      <c r="H352" s="1329" t="s">
        <v>3942</v>
      </c>
      <c r="I352" s="1283"/>
      <c r="J352" s="1283"/>
      <c r="K352" s="1283"/>
      <c r="L352" s="653" t="str">
        <f t="shared" si="181"/>
        <v>6559</v>
      </c>
      <c r="M352" s="654" t="str">
        <f t="shared" si="182"/>
        <v>SERVICE EXTERIEUR</v>
      </c>
      <c r="N352" s="655">
        <f>+IF(OR($Q352=Parametres!$G$2,$Q352=Parametres!$G$3),I352,C352)</f>
        <v>1238.76</v>
      </c>
      <c r="O352" s="659">
        <f>+IF(OR($Q352=Parametres!$G$2,$Q352=Parametres!$G$3),J352,D352)</f>
        <v>708.31</v>
      </c>
      <c r="P352" s="655">
        <f>+IF(OR($Q352=Parametres!$G$2,$Q352=Parametres!$G$3),K352,E352)</f>
        <v>1947.07</v>
      </c>
      <c r="Q352" s="654" t="str">
        <f t="shared" si="183"/>
        <v>7-Dépenses</v>
      </c>
      <c r="R352" s="653" t="str">
        <f t="shared" si="184"/>
        <v>6159</v>
      </c>
      <c r="S352" s="654" t="str">
        <f t="shared" si="185"/>
        <v>_</v>
      </c>
      <c r="T352" s="656" t="str">
        <f>+VLOOKUP($L352,Data_Validation!$A:$D,1,0)</f>
        <v>6559</v>
      </c>
      <c r="U352" s="656" t="str">
        <f>+VLOOKUP($L352,Data_Validation!$A:$D,3,0)</f>
        <v>Carrosserie</v>
      </c>
      <c r="V352" s="656" t="str">
        <f>+VLOOKUP($L352,Data_Validation!$A:$D,4,0)</f>
        <v>Services extérieurs</v>
      </c>
      <c r="W352" s="656" t="str">
        <f>+VLOOKUP($L352,Data_Validation!$A:$E,5,0)</f>
        <v>$</v>
      </c>
      <c r="X352" s="656">
        <f>+VLOOKUP($L352,Data_Validation!$A:$F,6,0)</f>
        <v>0</v>
      </c>
    </row>
    <row r="353" spans="1:24" ht="15" customHeight="1">
      <c r="A353" s="1329" t="s">
        <v>1211</v>
      </c>
      <c r="B353" s="1329" t="s">
        <v>2611</v>
      </c>
      <c r="C353" s="1331">
        <v>666.19</v>
      </c>
      <c r="D353" s="1331">
        <v>666.19</v>
      </c>
      <c r="E353" s="1331">
        <v>1332.38</v>
      </c>
      <c r="F353" s="1329" t="s">
        <v>1154</v>
      </c>
      <c r="G353" s="1329" t="s">
        <v>1212</v>
      </c>
      <c r="H353" s="1329" t="s">
        <v>3942</v>
      </c>
      <c r="I353" s="1283"/>
      <c r="J353" s="1283"/>
      <c r="K353" s="1283"/>
      <c r="L353" s="653" t="str">
        <f t="shared" si="181"/>
        <v>6561</v>
      </c>
      <c r="M353" s="654" t="str">
        <f t="shared" si="182"/>
        <v>DEPRECIATION EQUIP. &amp; FIXTURES</v>
      </c>
      <c r="N353" s="655">
        <f>+IF(OR($Q353=Parametres!$G$2,$Q353=Parametres!$G$3),I353,C353)</f>
        <v>666.19</v>
      </c>
      <c r="O353" s="655">
        <f>+IF(OR($Q353=Parametres!$G$2,$Q353=Parametres!$G$3),J353,D353)</f>
        <v>666.19</v>
      </c>
      <c r="P353" s="655">
        <f>+IF(OR($Q353=Parametres!$G$2,$Q353=Parametres!$G$3),K353,E353)</f>
        <v>1332.38</v>
      </c>
      <c r="Q353" s="654" t="str">
        <f t="shared" si="183"/>
        <v>7-Dépenses</v>
      </c>
      <c r="R353" s="653" t="str">
        <f t="shared" si="184"/>
        <v>6161</v>
      </c>
      <c r="S353" s="654" t="str">
        <f t="shared" si="185"/>
        <v>_</v>
      </c>
      <c r="T353" s="656" t="str">
        <f>+VLOOKUP($L353,Data_Validation!$A:$D,1,0)</f>
        <v>6561</v>
      </c>
      <c r="U353" s="656" t="str">
        <f>+VLOOKUP($L353,Data_Validation!$A:$D,3,0)</f>
        <v>Carrosserie</v>
      </c>
      <c r="V353" s="656" t="str">
        <f>+VLOOKUP($L353,Data_Validation!$A:$D,4,0)</f>
        <v>Amortissement</v>
      </c>
      <c r="W353" s="656" t="str">
        <f>+VLOOKUP($L353,Data_Validation!$A:$E,5,0)</f>
        <v>$</v>
      </c>
      <c r="X353" s="656">
        <f>+VLOOKUP($L353,Data_Validation!$A:$F,6,0)</f>
        <v>0</v>
      </c>
    </row>
    <row r="354" spans="1:24" ht="15" customHeight="1">
      <c r="A354" s="1329" t="s">
        <v>1268</v>
      </c>
      <c r="B354" s="1329" t="s">
        <v>2620</v>
      </c>
      <c r="C354" s="1331">
        <v>992.77</v>
      </c>
      <c r="D354" s="1331">
        <v>519.75</v>
      </c>
      <c r="E354" s="1331">
        <v>1512.52</v>
      </c>
      <c r="F354" s="1329" t="s">
        <v>1154</v>
      </c>
      <c r="G354" s="1329" t="s">
        <v>1214</v>
      </c>
      <c r="H354" s="1329" t="s">
        <v>3942</v>
      </c>
      <c r="I354" s="1283"/>
      <c r="J354" s="1283"/>
      <c r="K354" s="1283"/>
      <c r="L354" s="653" t="str">
        <f t="shared" si="181"/>
        <v>6581</v>
      </c>
      <c r="M354" s="654" t="str">
        <f t="shared" si="182"/>
        <v>CHAUFFAGE,ELECTRICITE,EAU-CARROS.</v>
      </c>
      <c r="N354" s="655">
        <f>+IF(OR($Q354=Parametres!$G$2,$Q354=Parametres!$G$3),I354,C354)</f>
        <v>992.77</v>
      </c>
      <c r="O354" s="655">
        <f>+IF(OR($Q354=Parametres!$G$2,$Q354=Parametres!$G$3),J354,D354)</f>
        <v>519.75</v>
      </c>
      <c r="P354" s="655">
        <f>+IF(OR($Q354=Parametres!$G$2,$Q354=Parametres!$G$3),K354,E354)</f>
        <v>1512.52</v>
      </c>
      <c r="Q354" s="654" t="str">
        <f t="shared" si="183"/>
        <v>7-Dépenses</v>
      </c>
      <c r="R354" s="653" t="str">
        <f t="shared" si="184"/>
        <v>6181</v>
      </c>
      <c r="S354" s="654" t="str">
        <f t="shared" si="185"/>
        <v>_</v>
      </c>
      <c r="T354" s="656" t="str">
        <f>+VLOOKUP($L354,Data_Validation!$A:$D,1,0)</f>
        <v>6581</v>
      </c>
      <c r="U354" s="656" t="str">
        <f>+VLOOKUP($L354,Data_Validation!$A:$D,3,0)</f>
        <v>Carrosserie</v>
      </c>
      <c r="V354" s="656" t="str">
        <f>+VLOOKUP($L354,Data_Validation!$A:$D,4,0)</f>
        <v>Chauffage, éclairage</v>
      </c>
      <c r="W354" s="656" t="str">
        <f>+VLOOKUP($L354,Data_Validation!$A:$E,5,0)</f>
        <v>$</v>
      </c>
      <c r="X354" s="656">
        <f>+VLOOKUP($L354,Data_Validation!$A:$F,6,0)</f>
        <v>0</v>
      </c>
    </row>
    <row r="355" spans="1:24" ht="15" customHeight="1">
      <c r="A355" s="1329" t="s">
        <v>1269</v>
      </c>
      <c r="B355" s="1329" t="s">
        <v>2623</v>
      </c>
      <c r="C355" s="1331">
        <v>3220</v>
      </c>
      <c r="D355" s="1331">
        <v>5565</v>
      </c>
      <c r="E355" s="1331">
        <v>8785</v>
      </c>
      <c r="F355" s="1329" t="s">
        <v>1154</v>
      </c>
      <c r="G355" s="1329" t="s">
        <v>1216</v>
      </c>
      <c r="H355" s="1329" t="s">
        <v>3942</v>
      </c>
      <c r="I355" s="1283"/>
      <c r="J355" s="1283"/>
      <c r="K355" s="1283"/>
      <c r="L355" s="653" t="str">
        <f t="shared" si="181"/>
        <v>6582</v>
      </c>
      <c r="M355" s="654" t="str">
        <f t="shared" si="182"/>
        <v>LOYER - CARROSSERIE</v>
      </c>
      <c r="N355" s="655">
        <f>+IF(OR($Q355=Parametres!$G$2,$Q355=Parametres!$G$3),I355,C355)</f>
        <v>3220</v>
      </c>
      <c r="O355" s="655">
        <f>+IF(OR($Q355=Parametres!$G$2,$Q355=Parametres!$G$3),J355,D355)</f>
        <v>5565</v>
      </c>
      <c r="P355" s="655">
        <f>+IF(OR($Q355=Parametres!$G$2,$Q355=Parametres!$G$3),K355,E355)</f>
        <v>8785</v>
      </c>
      <c r="Q355" s="654" t="str">
        <f t="shared" si="183"/>
        <v>7-Dépenses</v>
      </c>
      <c r="R355" s="653" t="str">
        <f t="shared" si="184"/>
        <v>6182</v>
      </c>
      <c r="S355" s="654" t="str">
        <f t="shared" si="185"/>
        <v>_</v>
      </c>
      <c r="T355" s="656" t="str">
        <f>+VLOOKUP($L355,Data_Validation!$A:$D,1,0)</f>
        <v>6582</v>
      </c>
      <c r="U355" s="656" t="str">
        <f>+VLOOKUP($L355,Data_Validation!$A:$D,3,0)</f>
        <v>Carrosserie</v>
      </c>
      <c r="V355" s="656" t="str">
        <f>+VLOOKUP($L355,Data_Validation!$A:$D,4,0)</f>
        <v>Loyer</v>
      </c>
      <c r="W355" s="656" t="str">
        <f>+VLOOKUP($L355,Data_Validation!$A:$E,5,0)</f>
        <v>$</v>
      </c>
      <c r="X355" s="656">
        <f>+VLOOKUP($L355,Data_Validation!$A:$F,6,0)</f>
        <v>0</v>
      </c>
    </row>
    <row r="356" spans="1:24" ht="15" customHeight="1">
      <c r="A356" s="1329" t="s">
        <v>1270</v>
      </c>
      <c r="B356" s="1329" t="s">
        <v>2625</v>
      </c>
      <c r="C356" s="1331">
        <v>304.10000000000002</v>
      </c>
      <c r="D356" s="1331">
        <v>249.2</v>
      </c>
      <c r="E356" s="1331">
        <v>553.29999999999995</v>
      </c>
      <c r="F356" s="1329" t="s">
        <v>1154</v>
      </c>
      <c r="G356" s="1329" t="s">
        <v>1218</v>
      </c>
      <c r="H356" s="1329" t="s">
        <v>3942</v>
      </c>
      <c r="I356" s="1283"/>
      <c r="J356" s="1283"/>
      <c r="K356" s="1283"/>
      <c r="L356" s="653" t="str">
        <f t="shared" si="181"/>
        <v>6586</v>
      </c>
      <c r="M356" s="654" t="str">
        <f t="shared" si="182"/>
        <v>ASSURANCE BATISSE &amp; AMEL.-CARROS.</v>
      </c>
      <c r="N356" s="655">
        <f>+IF(OR($Q356=Parametres!$G$2,$Q356=Parametres!$G$3),I356,C356)</f>
        <v>304.10000000000002</v>
      </c>
      <c r="O356" s="655">
        <f>+IF(OR($Q356=Parametres!$G$2,$Q356=Parametres!$G$3),J356,D356)</f>
        <v>249.2</v>
      </c>
      <c r="P356" s="655">
        <f>+IF(OR($Q356=Parametres!$G$2,$Q356=Parametres!$G$3),K356,E356)</f>
        <v>553.29999999999995</v>
      </c>
      <c r="Q356" s="654" t="str">
        <f t="shared" si="183"/>
        <v>7-Dépenses</v>
      </c>
      <c r="R356" s="653" t="str">
        <f t="shared" si="184"/>
        <v>6186</v>
      </c>
      <c r="S356" s="654" t="str">
        <f t="shared" si="185"/>
        <v>_</v>
      </c>
      <c r="T356" s="656" t="str">
        <f>+VLOOKUP($L356,Data_Validation!$A:$D,1,0)</f>
        <v>6586</v>
      </c>
      <c r="U356" s="656" t="str">
        <f>+VLOOKUP($L356,Data_Validation!$A:$D,3,0)</f>
        <v>Carrosserie</v>
      </c>
      <c r="V356" s="656" t="str">
        <f>+VLOOKUP($L356,Data_Validation!$A:$D,4,0)</f>
        <v>Assurances</v>
      </c>
      <c r="W356" s="656" t="str">
        <f>+VLOOKUP($L356,Data_Validation!$A:$E,5,0)</f>
        <v>$</v>
      </c>
      <c r="X356" s="656">
        <f>+VLOOKUP($L356,Data_Validation!$A:$F,6,0)</f>
        <v>0</v>
      </c>
    </row>
    <row r="357" spans="1:24" ht="15" customHeight="1">
      <c r="A357" s="1329" t="s">
        <v>1271</v>
      </c>
      <c r="B357" s="1329" t="s">
        <v>2627</v>
      </c>
      <c r="C357" s="1331">
        <v>1155</v>
      </c>
      <c r="D357" s="1331">
        <v>1155</v>
      </c>
      <c r="E357" s="1331">
        <v>2310</v>
      </c>
      <c r="F357" s="1329" t="s">
        <v>1154</v>
      </c>
      <c r="G357" s="1329" t="s">
        <v>1220</v>
      </c>
      <c r="H357" s="1329" t="s">
        <v>3942</v>
      </c>
      <c r="I357" s="1283"/>
      <c r="J357" s="1283"/>
      <c r="K357" s="1283"/>
      <c r="L357" s="653" t="str">
        <f t="shared" si="181"/>
        <v>6587</v>
      </c>
      <c r="M357" s="654" t="str">
        <f t="shared" si="182"/>
        <v>TAXES FONCIERES - CAROSSERIE</v>
      </c>
      <c r="N357" s="655">
        <f>+IF(OR($Q357=Parametres!$G$2,$Q357=Parametres!$G$3),I357,C357)</f>
        <v>1155</v>
      </c>
      <c r="O357" s="655">
        <f>+IF(OR($Q357=Parametres!$G$2,$Q357=Parametres!$G$3),J357,D357)</f>
        <v>1155</v>
      </c>
      <c r="P357" s="655">
        <f>+IF(OR($Q357=Parametres!$G$2,$Q357=Parametres!$G$3),K357,E357)</f>
        <v>2310</v>
      </c>
      <c r="Q357" s="654" t="str">
        <f t="shared" si="183"/>
        <v>7-Dépenses</v>
      </c>
      <c r="R357" s="653" t="str">
        <f t="shared" si="184"/>
        <v>6187</v>
      </c>
      <c r="S357" s="654" t="str">
        <f t="shared" si="185"/>
        <v>_</v>
      </c>
      <c r="T357" s="656" t="str">
        <f>+VLOOKUP($L357,Data_Validation!$A:$D,1,0)</f>
        <v>6587</v>
      </c>
      <c r="U357" s="656" t="str">
        <f>+VLOOKUP($L357,Data_Validation!$A:$D,3,0)</f>
        <v>Carrosserie</v>
      </c>
      <c r="V357" s="656" t="str">
        <f>+VLOOKUP($L357,Data_Validation!$A:$D,4,0)</f>
        <v>Taxes foncières</v>
      </c>
      <c r="W357" s="656" t="str">
        <f>+VLOOKUP($L357,Data_Validation!$A:$E,5,0)</f>
        <v>$</v>
      </c>
      <c r="X357" s="656">
        <f>+VLOOKUP($L357,Data_Validation!$A:$F,6,0)</f>
        <v>0</v>
      </c>
    </row>
    <row r="358" spans="1:24" ht="15.75" customHeight="1">
      <c r="A358" s="1329" t="s">
        <v>1272</v>
      </c>
      <c r="B358" s="1329" t="s">
        <v>2630</v>
      </c>
      <c r="C358" s="1331">
        <v>105</v>
      </c>
      <c r="D358" s="1331">
        <v>105</v>
      </c>
      <c r="E358" s="1331">
        <v>210</v>
      </c>
      <c r="F358" s="1329" t="s">
        <v>1154</v>
      </c>
      <c r="G358" s="1329" t="s">
        <v>1222</v>
      </c>
      <c r="H358" s="1329" t="s">
        <v>3942</v>
      </c>
      <c r="I358" s="1283"/>
      <c r="J358" s="1283"/>
      <c r="K358" s="1283"/>
      <c r="L358" s="653" t="str">
        <f t="shared" si="181"/>
        <v>6593</v>
      </c>
      <c r="M358" s="654" t="str">
        <f t="shared" si="182"/>
        <v>AUTRES TAXES -CARROSSERIE</v>
      </c>
      <c r="N358" s="655">
        <f>+IF(OR($Q358=Parametres!$G$2,$Q358=Parametres!$G$3),I358,C358)</f>
        <v>105</v>
      </c>
      <c r="O358" s="655">
        <f>+IF(OR($Q358=Parametres!$G$2,$Q358=Parametres!$G$3),J358,D358)</f>
        <v>105</v>
      </c>
      <c r="P358" s="655">
        <f>+IF(OR($Q358=Parametres!$G$2,$Q358=Parametres!$G$3),K358,E358)</f>
        <v>210</v>
      </c>
      <c r="Q358" s="654" t="str">
        <f t="shared" si="183"/>
        <v>7-Dépenses</v>
      </c>
      <c r="R358" s="653" t="str">
        <f t="shared" si="184"/>
        <v>6193</v>
      </c>
      <c r="S358" s="654" t="str">
        <f t="shared" si="185"/>
        <v>_</v>
      </c>
      <c r="T358" s="656" t="str">
        <f>+VLOOKUP($L358,Data_Validation!$A:$D,1,0)</f>
        <v>6593</v>
      </c>
      <c r="U358" s="656" t="str">
        <f>+VLOOKUP($L358,Data_Validation!$A:$D,3,0)</f>
        <v>Carrosserie</v>
      </c>
      <c r="V358" s="656" t="str">
        <f>+VLOOKUP($L358,Data_Validation!$A:$D,4,0)</f>
        <v>Taxes d`affaires</v>
      </c>
      <c r="W358" s="656" t="str">
        <f>+VLOOKUP($L358,Data_Validation!$A:$E,5,0)</f>
        <v>$</v>
      </c>
      <c r="X358" s="656">
        <f>+VLOOKUP($L358,Data_Validation!$A:$F,6,0)</f>
        <v>0</v>
      </c>
    </row>
    <row r="359" spans="1:24" ht="15" customHeight="1">
      <c r="A359" s="1329" t="s">
        <v>1273</v>
      </c>
      <c r="B359" s="1329" t="s">
        <v>2632</v>
      </c>
      <c r="C359" s="1331">
        <v>449.63</v>
      </c>
      <c r="D359" s="1331">
        <v>2759.06</v>
      </c>
      <c r="E359" s="1331">
        <v>3208.69</v>
      </c>
      <c r="F359" s="1329" t="s">
        <v>1154</v>
      </c>
      <c r="G359" s="1329" t="s">
        <v>1224</v>
      </c>
      <c r="H359" s="1329" t="s">
        <v>3942</v>
      </c>
      <c r="I359" s="1283"/>
      <c r="J359" s="1283"/>
      <c r="K359" s="1283"/>
      <c r="L359" s="653" t="str">
        <f t="shared" si="181"/>
        <v>6594</v>
      </c>
      <c r="M359" s="654" t="str">
        <f t="shared" si="182"/>
        <v>FRAIS PROFESSIONNEL-CARROS.</v>
      </c>
      <c r="N359" s="655">
        <f>+IF(OR($Q359=Parametres!$G$2,$Q359=Parametres!$G$3),I359,C359)</f>
        <v>449.63</v>
      </c>
      <c r="O359" s="655">
        <f>+IF(OR($Q359=Parametres!$G$2,$Q359=Parametres!$G$3),J359,D359)</f>
        <v>2759.06</v>
      </c>
      <c r="P359" s="655">
        <f>+IF(OR($Q359=Parametres!$G$2,$Q359=Parametres!$G$3),K359,E359)</f>
        <v>3208.69</v>
      </c>
      <c r="Q359" s="654" t="str">
        <f t="shared" si="183"/>
        <v>7-Dépenses</v>
      </c>
      <c r="R359" s="653" t="str">
        <f t="shared" si="184"/>
        <v>6194</v>
      </c>
      <c r="S359" s="654" t="str">
        <f t="shared" si="185"/>
        <v>_</v>
      </c>
      <c r="T359" s="656" t="str">
        <f>+VLOOKUP($L359,Data_Validation!$A:$D,1,0)</f>
        <v>6594</v>
      </c>
      <c r="U359" s="656" t="str">
        <f>+VLOOKUP($L359,Data_Validation!$A:$D,3,0)</f>
        <v>Carrosserie</v>
      </c>
      <c r="V359" s="656" t="str">
        <f>+VLOOKUP($L359,Data_Validation!$A:$D,4,0)</f>
        <v>Honoraires</v>
      </c>
      <c r="W359" s="656" t="str">
        <f>+VLOOKUP($L359,Data_Validation!$A:$E,5,0)</f>
        <v>$</v>
      </c>
      <c r="X359" s="656">
        <f>+VLOOKUP($L359,Data_Validation!$A:$F,6,0)</f>
        <v>0</v>
      </c>
    </row>
    <row r="360" spans="1:24" ht="15" customHeight="1">
      <c r="A360" s="1329" t="s">
        <v>1158</v>
      </c>
      <c r="B360" s="1329" t="s">
        <v>2647</v>
      </c>
      <c r="C360" s="1331">
        <v>1116.58</v>
      </c>
      <c r="D360" s="1331">
        <v>-200.79</v>
      </c>
      <c r="E360" s="1331">
        <v>915.79</v>
      </c>
      <c r="F360" s="1329" t="s">
        <v>1154</v>
      </c>
      <c r="G360" s="1329" t="s">
        <v>1242</v>
      </c>
      <c r="H360" s="1329" t="s">
        <v>3942</v>
      </c>
      <c r="I360" s="1283"/>
      <c r="J360" s="1283"/>
      <c r="K360" s="1283"/>
      <c r="L360" s="653" t="str">
        <f t="shared" si="181"/>
        <v>6703</v>
      </c>
      <c r="M360" s="654" t="str">
        <f t="shared" si="182"/>
        <v>RELAT. A LA CLIENTELE &amp; AJUST.</v>
      </c>
      <c r="N360" s="655">
        <f>+IF(OR($Q360=Parametres!$G$2,$Q360=Parametres!$G$3),I360,C360)</f>
        <v>1116.58</v>
      </c>
      <c r="O360" s="655">
        <f>+IF(OR($Q360=Parametres!$G$2,$Q360=Parametres!$G$3),J360,D360)</f>
        <v>-200.79</v>
      </c>
      <c r="P360" s="655">
        <f>+IF(OR($Q360=Parametres!$G$2,$Q360=Parametres!$G$3),K360,E360)</f>
        <v>915.79</v>
      </c>
      <c r="Q360" s="654" t="str">
        <f t="shared" si="183"/>
        <v>7-Dépenses</v>
      </c>
      <c r="R360" s="653" t="str">
        <f t="shared" si="184"/>
        <v>6112</v>
      </c>
      <c r="S360" s="654" t="str">
        <f t="shared" si="185"/>
        <v>_</v>
      </c>
      <c r="T360" s="656" t="str">
        <f>+VLOOKUP($L360,Data_Validation!$A:$D,1,0)</f>
        <v>6703</v>
      </c>
      <c r="U360" s="656" t="str">
        <f>+VLOOKUP($L360,Data_Validation!$A:$D,3,0)</f>
        <v>Pièces</v>
      </c>
      <c r="V360" s="656" t="str">
        <f>+VLOOKUP($L360,Data_Validation!$A:$D,4,0)</f>
        <v>Service gratuit 2</v>
      </c>
      <c r="W360" s="656" t="str">
        <f>+VLOOKUP($L360,Data_Validation!$A:$E,5,0)</f>
        <v>$</v>
      </c>
      <c r="X360" s="656">
        <f>+VLOOKUP($L360,Data_Validation!$A:$F,6,0)</f>
        <v>0</v>
      </c>
    </row>
    <row r="361" spans="1:24" ht="15" customHeight="1">
      <c r="A361" s="1329" t="s">
        <v>1166</v>
      </c>
      <c r="B361" s="1329" t="s">
        <v>2653</v>
      </c>
      <c r="C361" s="1331">
        <v>5009.71</v>
      </c>
      <c r="D361" s="1331">
        <v>2430.83</v>
      </c>
      <c r="E361" s="1331">
        <v>7440.54</v>
      </c>
      <c r="F361" s="1329" t="s">
        <v>1154</v>
      </c>
      <c r="G361" s="1329" t="s">
        <v>1167</v>
      </c>
      <c r="H361" s="1329" t="s">
        <v>3942</v>
      </c>
      <c r="I361" s="1283"/>
      <c r="J361" s="1283"/>
      <c r="K361" s="1283"/>
      <c r="L361" s="653" t="str">
        <f t="shared" si="181"/>
        <v>6714</v>
      </c>
      <c r="M361" s="654" t="str">
        <f t="shared" si="182"/>
        <v>PUBLICITE</v>
      </c>
      <c r="N361" s="655">
        <f>+IF(OR($Q361=Parametres!$G$2,$Q361=Parametres!$G$3),I361,C361)</f>
        <v>5009.71</v>
      </c>
      <c r="O361" s="655">
        <f>+IF(OR($Q361=Parametres!$G$2,$Q361=Parametres!$G$3),J361,D361)</f>
        <v>2430.83</v>
      </c>
      <c r="P361" s="655">
        <f>+IF(OR($Q361=Parametres!$G$2,$Q361=Parametres!$G$3),K361,E361)</f>
        <v>7440.54</v>
      </c>
      <c r="Q361" s="654" t="str">
        <f t="shared" si="183"/>
        <v>7-Dépenses</v>
      </c>
      <c r="R361" s="653" t="str">
        <f t="shared" si="184"/>
        <v>6114</v>
      </c>
      <c r="S361" s="654" t="str">
        <f t="shared" si="185"/>
        <v>_</v>
      </c>
      <c r="T361" s="656" t="str">
        <f>+VLOOKUP($L361,Data_Validation!$A:$D,1,0)</f>
        <v>6714</v>
      </c>
      <c r="U361" s="656" t="str">
        <f>+VLOOKUP($L361,Data_Validation!$A:$D,3,0)</f>
        <v>Pièces</v>
      </c>
      <c r="V361" s="656" t="str">
        <f>+VLOOKUP($L361,Data_Validation!$A:$D,4,0)</f>
        <v>Publicité 2</v>
      </c>
      <c r="W361" s="656" t="str">
        <f>+VLOOKUP($L361,Data_Validation!$A:$E,5,0)</f>
        <v>$</v>
      </c>
      <c r="X361" s="656">
        <f>+VLOOKUP($L361,Data_Validation!$A:$F,6,0)</f>
        <v>0</v>
      </c>
    </row>
    <row r="362" spans="1:24" ht="15.75" customHeight="1">
      <c r="A362" s="1329" t="s">
        <v>3961</v>
      </c>
      <c r="B362" s="1329" t="s">
        <v>2656</v>
      </c>
      <c r="C362" s="1331">
        <v>2692.49</v>
      </c>
      <c r="D362" s="1331">
        <v>2532.12</v>
      </c>
      <c r="E362" s="1331">
        <v>5224.6099999999997</v>
      </c>
      <c r="F362" s="1329" t="s">
        <v>1154</v>
      </c>
      <c r="G362" s="1329" t="s">
        <v>1170</v>
      </c>
      <c r="H362" s="1329" t="s">
        <v>3942</v>
      </c>
      <c r="I362" s="1283"/>
      <c r="J362" s="1283"/>
      <c r="K362" s="1283"/>
      <c r="L362" s="653" t="str">
        <f t="shared" si="181"/>
        <v>6721</v>
      </c>
      <c r="M362" s="654" t="str">
        <f t="shared" si="182"/>
        <v>SALAIRES - DIRECTION GENERALE</v>
      </c>
      <c r="N362" s="655">
        <f>+IF(OR($Q362=Parametres!$G$2,$Q362=Parametres!$G$3),I362,C362)</f>
        <v>2692.49</v>
      </c>
      <c r="O362" s="655">
        <f>+IF(OR($Q362=Parametres!$G$2,$Q362=Parametres!$G$3),J362,D362)</f>
        <v>2532.12</v>
      </c>
      <c r="P362" s="655">
        <f>+IF(OR($Q362=Parametres!$G$2,$Q362=Parametres!$G$3),K362,E362)</f>
        <v>5224.6099999999997</v>
      </c>
      <c r="Q362" s="654" t="str">
        <f t="shared" si="183"/>
        <v>7-Dépenses</v>
      </c>
      <c r="R362" s="653" t="str">
        <f t="shared" si="184"/>
        <v>6121</v>
      </c>
      <c r="S362" s="654" t="str">
        <f t="shared" si="185"/>
        <v>_</v>
      </c>
      <c r="T362" s="656" t="str">
        <f>+VLOOKUP($L362,Data_Validation!$A:$D,1,0)</f>
        <v>6721</v>
      </c>
      <c r="U362" s="656" t="str">
        <f>+VLOOKUP($L362,Data_Validation!$A:$D,3,0)</f>
        <v>Pièces</v>
      </c>
      <c r="V362" s="656" t="str">
        <f>+VLOOKUP($L362,Data_Validation!$A:$D,4,0)</f>
        <v>Salaires propriétaire</v>
      </c>
      <c r="W362" s="656" t="str">
        <f>+VLOOKUP($L362,Data_Validation!$A:$E,5,0)</f>
        <v>$</v>
      </c>
      <c r="X362" s="656">
        <f>+VLOOKUP($L362,Data_Validation!$A:$F,6,0)</f>
        <v>0</v>
      </c>
    </row>
    <row r="363" spans="1:24" ht="15.75" customHeight="1">
      <c r="A363" s="1329" t="s">
        <v>1171</v>
      </c>
      <c r="B363" s="1329" t="s">
        <v>2659</v>
      </c>
      <c r="C363" s="1331">
        <v>9262.66</v>
      </c>
      <c r="D363" s="1331">
        <v>6247.57</v>
      </c>
      <c r="E363" s="1331">
        <v>15510.23</v>
      </c>
      <c r="F363" s="1329" t="s">
        <v>1154</v>
      </c>
      <c r="G363" s="1329" t="s">
        <v>1172</v>
      </c>
      <c r="H363" s="1329" t="s">
        <v>3942</v>
      </c>
      <c r="I363" s="1283"/>
      <c r="J363" s="1283"/>
      <c r="K363" s="1283"/>
      <c r="L363" s="653" t="str">
        <f t="shared" si="181"/>
        <v>6722</v>
      </c>
      <c r="M363" s="654" t="str">
        <f t="shared" si="182"/>
        <v>SAL SUPERVISION / GERANT</v>
      </c>
      <c r="N363" s="655">
        <f>+IF(OR($Q363=Parametres!$G$2,$Q363=Parametres!$G$3),I363,C363)</f>
        <v>9262.66</v>
      </c>
      <c r="O363" s="655">
        <f>+IF(OR($Q363=Parametres!$G$2,$Q363=Parametres!$G$3),J363,D363)</f>
        <v>6247.57</v>
      </c>
      <c r="P363" s="655">
        <f>+IF(OR($Q363=Parametres!$G$2,$Q363=Parametres!$G$3),K363,E363)</f>
        <v>15510.23</v>
      </c>
      <c r="Q363" s="654" t="str">
        <f t="shared" si="183"/>
        <v>7-Dépenses</v>
      </c>
      <c r="R363" s="653" t="str">
        <f t="shared" si="184"/>
        <v>6122</v>
      </c>
      <c r="S363" s="654" t="str">
        <f t="shared" si="185"/>
        <v>_</v>
      </c>
      <c r="T363" s="656" t="str">
        <f>+VLOOKUP($L363,Data_Validation!$A:$D,1,0)</f>
        <v>6722</v>
      </c>
      <c r="U363" s="656" t="str">
        <f>+VLOOKUP($L363,Data_Validation!$A:$D,3,0)</f>
        <v>Pièces</v>
      </c>
      <c r="V363" s="656" t="str">
        <f>+VLOOKUP($L363,Data_Validation!$A:$D,4,0)</f>
        <v>Salaires cadres</v>
      </c>
      <c r="W363" s="656" t="str">
        <f>+VLOOKUP($L363,Data_Validation!$A:$E,5,0)</f>
        <v>$</v>
      </c>
      <c r="X363" s="656">
        <f>+VLOOKUP($L363,Data_Validation!$A:$F,6,0)</f>
        <v>0</v>
      </c>
    </row>
    <row r="364" spans="1:24" ht="15" customHeight="1">
      <c r="A364" s="1329" t="s">
        <v>1173</v>
      </c>
      <c r="B364" s="1329" t="s">
        <v>2662</v>
      </c>
      <c r="C364" s="1331">
        <v>31389.85</v>
      </c>
      <c r="D364" s="1331">
        <v>23120.62</v>
      </c>
      <c r="E364" s="1331">
        <v>54510.47</v>
      </c>
      <c r="F364" s="1329" t="s">
        <v>1154</v>
      </c>
      <c r="G364" s="1329" t="s">
        <v>1174</v>
      </c>
      <c r="H364" s="1329" t="s">
        <v>3942</v>
      </c>
      <c r="I364" s="1283"/>
      <c r="J364" s="1283"/>
      <c r="K364" s="1283"/>
      <c r="L364" s="653" t="str">
        <f t="shared" si="181"/>
        <v>6723</v>
      </c>
      <c r="M364" s="654" t="str">
        <f t="shared" si="182"/>
        <v>SAL. &amp; RENUM. - CLERICAL</v>
      </c>
      <c r="N364" s="655">
        <f>+IF(OR($Q364=Parametres!$G$2,$Q364=Parametres!$G$3),I364,C364)</f>
        <v>31389.85</v>
      </c>
      <c r="O364" s="655">
        <f>+IF(OR($Q364=Parametres!$G$2,$Q364=Parametres!$G$3),J364,D364)</f>
        <v>23120.62</v>
      </c>
      <c r="P364" s="655">
        <f>+IF(OR($Q364=Parametres!$G$2,$Q364=Parametres!$G$3),K364,E364)</f>
        <v>54510.47</v>
      </c>
      <c r="Q364" s="654" t="str">
        <f t="shared" si="183"/>
        <v>7-Dépenses</v>
      </c>
      <c r="R364" s="653" t="str">
        <f t="shared" si="184"/>
        <v>6123</v>
      </c>
      <c r="S364" s="654" t="str">
        <f t="shared" si="185"/>
        <v>_</v>
      </c>
      <c r="T364" s="656" t="str">
        <f>+VLOOKUP($L364,Data_Validation!$A:$D,1,0)</f>
        <v>6723</v>
      </c>
      <c r="U364" s="656" t="str">
        <f>+VLOOKUP($L364,Data_Validation!$A:$D,3,0)</f>
        <v>Pièces</v>
      </c>
      <c r="V364" s="656" t="str">
        <f>+VLOOKUP($L364,Data_Validation!$A:$D,4,0)</f>
        <v>Salaires commis</v>
      </c>
      <c r="W364" s="656" t="str">
        <f>+VLOOKUP($L364,Data_Validation!$A:$E,5,0)</f>
        <v>$</v>
      </c>
      <c r="X364" s="656">
        <f>+VLOOKUP($L364,Data_Validation!$A:$F,6,0)</f>
        <v>0</v>
      </c>
    </row>
    <row r="365" spans="1:24" ht="15.75" customHeight="1">
      <c r="A365" s="1329" t="s">
        <v>1175</v>
      </c>
      <c r="B365" s="1329" t="s">
        <v>2665</v>
      </c>
      <c r="C365" s="1331">
        <v>113.92</v>
      </c>
      <c r="D365" s="1331">
        <v>6274.69</v>
      </c>
      <c r="E365" s="1331">
        <v>6388.61</v>
      </c>
      <c r="F365" s="1329" t="s">
        <v>1154</v>
      </c>
      <c r="G365" s="1329" t="s">
        <v>1176</v>
      </c>
      <c r="H365" s="1329" t="s">
        <v>3942</v>
      </c>
      <c r="I365" s="1283"/>
      <c r="J365" s="1283"/>
      <c r="K365" s="1283"/>
      <c r="L365" s="653" t="str">
        <f t="shared" ref="L365:L373" si="186">TEXT(B365,0)</f>
        <v>6724</v>
      </c>
      <c r="M365" s="654" t="str">
        <f t="shared" ref="M365:M373" si="187">+A365</f>
        <v>SALAIRES &amp; RENUM. - AUTRES</v>
      </c>
      <c r="N365" s="655">
        <f>+IF(OR($Q365=Parametres!$G$2,$Q365=Parametres!$G$3),I365,C365)</f>
        <v>113.92</v>
      </c>
      <c r="O365" s="655">
        <f>+IF(OR($Q365=Parametres!$G$2,$Q365=Parametres!$G$3),J365,D365)</f>
        <v>6274.69</v>
      </c>
      <c r="P365" s="655">
        <f>+IF(OR($Q365=Parametres!$G$2,$Q365=Parametres!$G$3),K365,E365)</f>
        <v>6388.61</v>
      </c>
      <c r="Q365" s="654" t="str">
        <f t="shared" ref="Q365:Q373" si="188">+F365</f>
        <v>7-Dépenses</v>
      </c>
      <c r="R365" s="653" t="str">
        <f t="shared" ref="R365:R373" si="189">+G365</f>
        <v>6124</v>
      </c>
      <c r="S365" s="654" t="str">
        <f t="shared" ref="S365:S373" si="190">+H365</f>
        <v>_</v>
      </c>
      <c r="T365" s="656" t="str">
        <f>+VLOOKUP($L365,Data_Validation!$A:$D,1,0)</f>
        <v>6724</v>
      </c>
      <c r="U365" s="656" t="str">
        <f>+VLOOKUP($L365,Data_Validation!$A:$D,3,0)</f>
        <v>Pièces</v>
      </c>
      <c r="V365" s="656" t="str">
        <f>+VLOOKUP($L365,Data_Validation!$A:$D,4,0)</f>
        <v>Salaires autres</v>
      </c>
      <c r="W365" s="656" t="str">
        <f>+VLOOKUP($L365,Data_Validation!$A:$E,5,0)</f>
        <v>$</v>
      </c>
      <c r="X365" s="656">
        <f>+VLOOKUP($L365,Data_Validation!$A:$F,6,0)</f>
        <v>0</v>
      </c>
    </row>
    <row r="366" spans="1:24" ht="15.75" customHeight="1">
      <c r="A366" s="1329" t="s">
        <v>1275</v>
      </c>
      <c r="B366" s="1329" t="s">
        <v>2668</v>
      </c>
      <c r="C366" s="1331">
        <v>4982.21</v>
      </c>
      <c r="D366" s="1331">
        <v>3718.45</v>
      </c>
      <c r="E366" s="1331">
        <v>8700.66</v>
      </c>
      <c r="F366" s="1329" t="s">
        <v>1154</v>
      </c>
      <c r="G366" s="1329" t="s">
        <v>1178</v>
      </c>
      <c r="H366" s="1329" t="s">
        <v>3942</v>
      </c>
      <c r="I366" s="1283"/>
      <c r="J366" s="1283"/>
      <c r="K366" s="1283"/>
      <c r="L366" s="653" t="str">
        <f t="shared" si="186"/>
        <v>6729</v>
      </c>
      <c r="M366" s="654" t="str">
        <f t="shared" si="187"/>
        <v>ABSENCES, VACANCES, ETC</v>
      </c>
      <c r="N366" s="655">
        <f>+IF(OR($Q366=Parametres!$G$2,$Q366=Parametres!$G$3),I366,C366)</f>
        <v>4982.21</v>
      </c>
      <c r="O366" s="655">
        <f>+IF(OR($Q366=Parametres!$G$2,$Q366=Parametres!$G$3),J366,D366)</f>
        <v>3718.45</v>
      </c>
      <c r="P366" s="655">
        <f>+IF(OR($Q366=Parametres!$G$2,$Q366=Parametres!$G$3),K366,E366)</f>
        <v>8700.66</v>
      </c>
      <c r="Q366" s="654" t="str">
        <f t="shared" si="188"/>
        <v>7-Dépenses</v>
      </c>
      <c r="R366" s="653" t="str">
        <f t="shared" si="189"/>
        <v>6129</v>
      </c>
      <c r="S366" s="654" t="str">
        <f t="shared" si="190"/>
        <v>_</v>
      </c>
      <c r="T366" s="656" t="str">
        <f>+VLOOKUP($L366,Data_Validation!$A:$D,1,0)</f>
        <v>6729</v>
      </c>
      <c r="U366" s="656" t="str">
        <f>+VLOOKUP($L366,Data_Validation!$A:$D,3,0)</f>
        <v>Pièces</v>
      </c>
      <c r="V366" s="656" t="str">
        <f>+VLOOKUP($L366,Data_Validation!$A:$D,4,0)</f>
        <v>Salaires en absences</v>
      </c>
      <c r="W366" s="656" t="str">
        <f>+VLOOKUP($L366,Data_Validation!$A:$E,5,0)</f>
        <v>$</v>
      </c>
      <c r="X366" s="656">
        <f>+VLOOKUP($L366,Data_Validation!$A:$F,6,0)</f>
        <v>0</v>
      </c>
    </row>
    <row r="367" spans="1:24" ht="15.75" customHeight="1">
      <c r="A367" s="1329" t="s">
        <v>1179</v>
      </c>
      <c r="B367" s="1329" t="s">
        <v>2671</v>
      </c>
      <c r="C367" s="1331">
        <v>1449.5</v>
      </c>
      <c r="D367" s="1331">
        <v>1189.3399999999999</v>
      </c>
      <c r="E367" s="1331">
        <v>2638.84</v>
      </c>
      <c r="F367" s="1329" t="s">
        <v>1154</v>
      </c>
      <c r="G367" s="1329" t="s">
        <v>1180</v>
      </c>
      <c r="H367" s="1329" t="s">
        <v>3942</v>
      </c>
      <c r="I367" s="1283"/>
      <c r="J367" s="1283"/>
      <c r="K367" s="1283"/>
      <c r="L367" s="653" t="str">
        <f t="shared" si="186"/>
        <v>6731</v>
      </c>
      <c r="M367" s="654" t="str">
        <f t="shared" si="187"/>
        <v>CSST</v>
      </c>
      <c r="N367" s="655">
        <f>+IF(OR($Q367=Parametres!$G$2,$Q367=Parametres!$G$3),I367,C367)</f>
        <v>1449.5</v>
      </c>
      <c r="O367" s="655">
        <f>+IF(OR($Q367=Parametres!$G$2,$Q367=Parametres!$G$3),J367,D367)</f>
        <v>1189.3399999999999</v>
      </c>
      <c r="P367" s="655">
        <f>+IF(OR($Q367=Parametres!$G$2,$Q367=Parametres!$G$3),K367,E367)</f>
        <v>2638.84</v>
      </c>
      <c r="Q367" s="654" t="str">
        <f t="shared" si="188"/>
        <v>7-Dépenses</v>
      </c>
      <c r="R367" s="653" t="str">
        <f t="shared" si="189"/>
        <v>6131</v>
      </c>
      <c r="S367" s="654" t="str">
        <f t="shared" si="190"/>
        <v>_</v>
      </c>
      <c r="T367" s="656" t="str">
        <f>+VLOOKUP($L367,Data_Validation!$A:$D,1,0)</f>
        <v>6731</v>
      </c>
      <c r="U367" s="656" t="str">
        <f>+VLOOKUP($L367,Data_Validation!$A:$D,3,0)</f>
        <v>Pièces</v>
      </c>
      <c r="V367" s="656" t="str">
        <f>+VLOOKUP($L367,Data_Validation!$A:$D,4,0)</f>
        <v>Csst</v>
      </c>
      <c r="W367" s="656" t="str">
        <f>+VLOOKUP($L367,Data_Validation!$A:$E,5,0)</f>
        <v>$</v>
      </c>
      <c r="X367" s="656">
        <f>+VLOOKUP($L367,Data_Validation!$A:$F,6,0)</f>
        <v>0</v>
      </c>
    </row>
    <row r="368" spans="1:24" ht="15.75" customHeight="1">
      <c r="A368" s="1329" t="s">
        <v>1181</v>
      </c>
      <c r="B368" s="1329" t="s">
        <v>2674</v>
      </c>
      <c r="C368" s="1331">
        <v>8760.39</v>
      </c>
      <c r="D368" s="1331">
        <v>3440.63</v>
      </c>
      <c r="E368" s="1331">
        <v>12201.02</v>
      </c>
      <c r="F368" s="1329" t="s">
        <v>1154</v>
      </c>
      <c r="G368" s="1329" t="s">
        <v>1182</v>
      </c>
      <c r="H368" s="1329" t="s">
        <v>3942</v>
      </c>
      <c r="I368" s="1283"/>
      <c r="J368" s="1283"/>
      <c r="K368" s="1283"/>
      <c r="L368" s="653" t="str">
        <f t="shared" si="186"/>
        <v>6732</v>
      </c>
      <c r="M368" s="654" t="str">
        <f t="shared" si="187"/>
        <v>RRQ RAMQ AC</v>
      </c>
      <c r="N368" s="655">
        <f>+IF(OR($Q368=Parametres!$G$2,$Q368=Parametres!$G$3),I368,C368)</f>
        <v>8760.39</v>
      </c>
      <c r="O368" s="655">
        <f>+IF(OR($Q368=Parametres!$G$2,$Q368=Parametres!$G$3),J368,D368)</f>
        <v>3440.63</v>
      </c>
      <c r="P368" s="655">
        <f>+IF(OR($Q368=Parametres!$G$2,$Q368=Parametres!$G$3),K368,E368)</f>
        <v>12201.02</v>
      </c>
      <c r="Q368" s="654" t="str">
        <f t="shared" si="188"/>
        <v>7-Dépenses</v>
      </c>
      <c r="R368" s="653" t="str">
        <f t="shared" si="189"/>
        <v>6132</v>
      </c>
      <c r="S368" s="654" t="str">
        <f t="shared" si="190"/>
        <v>_</v>
      </c>
      <c r="T368" s="656" t="str">
        <f>+VLOOKUP($L368,Data_Validation!$A:$D,1,0)</f>
        <v>6732</v>
      </c>
      <c r="U368" s="656" t="str">
        <f>+VLOOKUP($L368,Data_Validation!$A:$D,3,0)</f>
        <v>Pièces</v>
      </c>
      <c r="V368" s="656" t="str">
        <f>+VLOOKUP($L368,Data_Validation!$A:$D,4,0)</f>
        <v>Déduction à la source</v>
      </c>
      <c r="W368" s="656" t="str">
        <f>+VLOOKUP($L368,Data_Validation!$A:$E,5,0)</f>
        <v>$</v>
      </c>
      <c r="X368" s="656">
        <f>+VLOOKUP($L368,Data_Validation!$A:$F,6,0)</f>
        <v>0</v>
      </c>
    </row>
    <row r="369" spans="1:24" ht="15.75" customHeight="1">
      <c r="A369" s="1329" t="s">
        <v>1276</v>
      </c>
      <c r="B369" s="1329" t="s">
        <v>2677</v>
      </c>
      <c r="C369" s="1331">
        <v>877.02</v>
      </c>
      <c r="D369" s="1331">
        <v>808.66</v>
      </c>
      <c r="E369" s="1331">
        <v>1685.68</v>
      </c>
      <c r="F369" s="1329" t="s">
        <v>1154</v>
      </c>
      <c r="G369" s="1329" t="s">
        <v>1184</v>
      </c>
      <c r="H369" s="1329" t="s">
        <v>3942</v>
      </c>
      <c r="I369" s="1283"/>
      <c r="J369" s="1283"/>
      <c r="K369" s="1283"/>
      <c r="L369" s="653" t="str">
        <f t="shared" si="186"/>
        <v>6733</v>
      </c>
      <c r="M369" s="654" t="str">
        <f t="shared" si="187"/>
        <v>FOND PENSION - PIECES</v>
      </c>
      <c r="N369" s="655">
        <f>+IF(OR($Q369=Parametres!$G$2,$Q369=Parametres!$G$3),I369,C369)</f>
        <v>877.02</v>
      </c>
      <c r="O369" s="655">
        <f>+IF(OR($Q369=Parametres!$G$2,$Q369=Parametres!$G$3),J369,D369)</f>
        <v>808.66</v>
      </c>
      <c r="P369" s="655">
        <f>+IF(OR($Q369=Parametres!$G$2,$Q369=Parametres!$G$3),K369,E369)</f>
        <v>1685.68</v>
      </c>
      <c r="Q369" s="654" t="str">
        <f t="shared" si="188"/>
        <v>7-Dépenses</v>
      </c>
      <c r="R369" s="653" t="str">
        <f t="shared" si="189"/>
        <v>6133</v>
      </c>
      <c r="S369" s="654" t="str">
        <f t="shared" si="190"/>
        <v>_</v>
      </c>
      <c r="T369" s="656" t="str">
        <f>+VLOOKUP($L369,Data_Validation!$A:$D,1,0)</f>
        <v>6733</v>
      </c>
      <c r="U369" s="656" t="str">
        <f>+VLOOKUP($L369,Data_Validation!$A:$D,3,0)</f>
        <v>Pièces</v>
      </c>
      <c r="V369" s="656" t="str">
        <f>+VLOOKUP($L369,Data_Validation!$A:$D,4,0)</f>
        <v>Déduction à la source</v>
      </c>
      <c r="W369" s="656" t="str">
        <f>+VLOOKUP($L369,Data_Validation!$A:$E,5,0)</f>
        <v>$</v>
      </c>
      <c r="X369" s="656">
        <f>+VLOOKUP($L369,Data_Validation!$A:$F,6,0)</f>
        <v>0</v>
      </c>
    </row>
    <row r="370" spans="1:24" ht="15.75" customHeight="1">
      <c r="A370" s="1329" t="s">
        <v>1231</v>
      </c>
      <c r="B370" s="1329" t="s">
        <v>2680</v>
      </c>
      <c r="C370" s="1331">
        <v>1895.35</v>
      </c>
      <c r="D370" s="1331">
        <v>1925.58</v>
      </c>
      <c r="E370" s="1331">
        <v>3820.93</v>
      </c>
      <c r="F370" s="1329" t="s">
        <v>1154</v>
      </c>
      <c r="G370" s="1329" t="s">
        <v>1186</v>
      </c>
      <c r="H370" s="1329" t="s">
        <v>3942</v>
      </c>
      <c r="I370" s="1283"/>
      <c r="J370" s="1283"/>
      <c r="K370" s="1283"/>
      <c r="L370" s="653" t="str">
        <f t="shared" si="186"/>
        <v>6739</v>
      </c>
      <c r="M370" s="654" t="str">
        <f t="shared" si="187"/>
        <v>ASSURANCE GROUPE</v>
      </c>
      <c r="N370" s="655">
        <f>+IF(OR($Q370=Parametres!$G$2,$Q370=Parametres!$G$3),I370,C370)</f>
        <v>1895.35</v>
      </c>
      <c r="O370" s="655">
        <f>+IF(OR($Q370=Parametres!$G$2,$Q370=Parametres!$G$3),J370,D370)</f>
        <v>1925.58</v>
      </c>
      <c r="P370" s="655">
        <f>+IF(OR($Q370=Parametres!$G$2,$Q370=Parametres!$G$3),K370,E370)</f>
        <v>3820.93</v>
      </c>
      <c r="Q370" s="654" t="str">
        <f t="shared" si="188"/>
        <v>7-Dépenses</v>
      </c>
      <c r="R370" s="653" t="str">
        <f t="shared" si="189"/>
        <v>6139</v>
      </c>
      <c r="S370" s="654" t="str">
        <f t="shared" si="190"/>
        <v>_</v>
      </c>
      <c r="T370" s="656" t="str">
        <f>+VLOOKUP($L370,Data_Validation!$A:$D,1,0)</f>
        <v>6739</v>
      </c>
      <c r="U370" s="656" t="str">
        <f>+VLOOKUP($L370,Data_Validation!$A:$D,3,0)</f>
        <v>Pièces</v>
      </c>
      <c r="V370" s="656" t="str">
        <f>+VLOOKUP($L370,Data_Validation!$A:$D,4,0)</f>
        <v>Bénéfices marginaux</v>
      </c>
      <c r="W370" s="656" t="str">
        <f>+VLOOKUP($L370,Data_Validation!$A:$E,5,0)</f>
        <v>$</v>
      </c>
      <c r="X370" s="656">
        <f>+VLOOKUP($L370,Data_Validation!$A:$F,6,0)</f>
        <v>0</v>
      </c>
    </row>
    <row r="371" spans="1:24" ht="15.75" customHeight="1">
      <c r="A371" s="1329" t="s">
        <v>1187</v>
      </c>
      <c r="B371" s="1329" t="s">
        <v>2684</v>
      </c>
      <c r="C371" s="1331">
        <v>121.2</v>
      </c>
      <c r="D371" s="1331">
        <v>0</v>
      </c>
      <c r="E371" s="1331">
        <v>121.2</v>
      </c>
      <c r="F371" s="1329" t="s">
        <v>1154</v>
      </c>
      <c r="G371" s="1329" t="s">
        <v>1188</v>
      </c>
      <c r="H371" s="1329" t="s">
        <v>3942</v>
      </c>
      <c r="I371" s="1283"/>
      <c r="J371" s="1283"/>
      <c r="K371" s="1283"/>
      <c r="L371" s="653" t="str">
        <f t="shared" si="186"/>
        <v>6742</v>
      </c>
      <c r="M371" s="654" t="str">
        <f t="shared" si="187"/>
        <v>FOURNITURES &amp; PETITS OUTILS</v>
      </c>
      <c r="N371" s="655">
        <f>+IF(OR($Q371=Parametres!$G$2,$Q371=Parametres!$G$3),I371,C371)</f>
        <v>121.2</v>
      </c>
      <c r="O371" s="655">
        <f>+IF(OR($Q371=Parametres!$G$2,$Q371=Parametres!$G$3),J371,D371)</f>
        <v>0</v>
      </c>
      <c r="P371" s="655">
        <f>+IF(OR($Q371=Parametres!$G$2,$Q371=Parametres!$G$3),K371,E371)</f>
        <v>121.2</v>
      </c>
      <c r="Q371" s="654" t="str">
        <f t="shared" si="188"/>
        <v>7-Dépenses</v>
      </c>
      <c r="R371" s="653" t="str">
        <f t="shared" si="189"/>
        <v>6142</v>
      </c>
      <c r="S371" s="654" t="str">
        <f t="shared" si="190"/>
        <v>_</v>
      </c>
      <c r="T371" s="656" t="str">
        <f>+VLOOKUP($L371,Data_Validation!$A:$D,1,0)</f>
        <v>6742</v>
      </c>
      <c r="U371" s="656" t="str">
        <f>+VLOOKUP($L371,Data_Validation!$A:$D,3,0)</f>
        <v>Pièces</v>
      </c>
      <c r="V371" s="656" t="str">
        <f>+VLOOKUP($L371,Data_Validation!$A:$D,4,0)</f>
        <v>Fournitures autres</v>
      </c>
      <c r="W371" s="656" t="str">
        <f>+VLOOKUP($L371,Data_Validation!$A:$E,5,0)</f>
        <v>$</v>
      </c>
      <c r="X371" s="656">
        <f>+VLOOKUP($L371,Data_Validation!$A:$F,6,0)</f>
        <v>0</v>
      </c>
    </row>
    <row r="372" spans="1:24" ht="15.75" customHeight="1">
      <c r="A372" s="1329" t="s">
        <v>1191</v>
      </c>
      <c r="B372" s="1329" t="s">
        <v>2690</v>
      </c>
      <c r="C372" s="1331">
        <v>79.75</v>
      </c>
      <c r="D372" s="1331">
        <v>531.03</v>
      </c>
      <c r="E372" s="1331">
        <v>610.78</v>
      </c>
      <c r="F372" s="1329" t="s">
        <v>1154</v>
      </c>
      <c r="G372" s="1329" t="s">
        <v>1192</v>
      </c>
      <c r="H372" s="1329" t="s">
        <v>3942</v>
      </c>
      <c r="I372" s="1283"/>
      <c r="J372" s="1283"/>
      <c r="K372" s="1283"/>
      <c r="L372" s="653" t="str">
        <f t="shared" si="186"/>
        <v>6744</v>
      </c>
      <c r="M372" s="654" t="str">
        <f t="shared" si="187"/>
        <v>FORMATION</v>
      </c>
      <c r="N372" s="655">
        <f>+IF(OR($Q372=Parametres!$G$2,$Q372=Parametres!$G$3),I372,C372)</f>
        <v>79.75</v>
      </c>
      <c r="O372" s="655">
        <f>+IF(OR($Q372=Parametres!$G$2,$Q372=Parametres!$G$3),J372,D372)</f>
        <v>531.03</v>
      </c>
      <c r="P372" s="655">
        <f>+IF(OR($Q372=Parametres!$G$2,$Q372=Parametres!$G$3),K372,E372)</f>
        <v>610.78</v>
      </c>
      <c r="Q372" s="654" t="str">
        <f t="shared" si="188"/>
        <v>7-Dépenses</v>
      </c>
      <c r="R372" s="653" t="str">
        <f t="shared" si="189"/>
        <v>6144</v>
      </c>
      <c r="S372" s="654" t="str">
        <f t="shared" si="190"/>
        <v>_</v>
      </c>
      <c r="T372" s="656" t="str">
        <f>+VLOOKUP($L372,Data_Validation!$A:$D,1,0)</f>
        <v>6744</v>
      </c>
      <c r="U372" s="656" t="str">
        <f>+VLOOKUP($L372,Data_Validation!$A:$D,3,0)</f>
        <v>Pièces</v>
      </c>
      <c r="V372" s="656" t="str">
        <f>+VLOOKUP($L372,Data_Validation!$A:$D,4,0)</f>
        <v>Formation</v>
      </c>
      <c r="W372" s="656" t="str">
        <f>+VLOOKUP($L372,Data_Validation!$A:$E,5,0)</f>
        <v>$</v>
      </c>
      <c r="X372" s="656">
        <f>+VLOOKUP($L372,Data_Validation!$A:$F,6,0)</f>
        <v>0</v>
      </c>
    </row>
    <row r="373" spans="1:24" ht="15.75" customHeight="1">
      <c r="A373" s="1329" t="s">
        <v>1193</v>
      </c>
      <c r="B373" s="1329" t="s">
        <v>2693</v>
      </c>
      <c r="C373" s="1331">
        <v>1410.61</v>
      </c>
      <c r="D373" s="1331">
        <v>994.4</v>
      </c>
      <c r="E373" s="1331">
        <v>2405.0100000000002</v>
      </c>
      <c r="F373" s="1329" t="s">
        <v>1154</v>
      </c>
      <c r="G373" s="1329" t="s">
        <v>1194</v>
      </c>
      <c r="H373" s="1329" t="s">
        <v>3942</v>
      </c>
      <c r="I373" s="1283"/>
      <c r="J373" s="1283"/>
      <c r="K373" s="1283"/>
      <c r="L373" s="653" t="str">
        <f t="shared" si="186"/>
        <v>6745</v>
      </c>
      <c r="M373" s="654" t="str">
        <f t="shared" si="187"/>
        <v>VEHICULE DE COMPAGNIE - DEPENS</v>
      </c>
      <c r="N373" s="655">
        <f>+IF(OR($Q373=Parametres!$G$2,$Q373=Parametres!$G$3),I373,C373)</f>
        <v>1410.61</v>
      </c>
      <c r="O373" s="655">
        <f>+IF(OR($Q373=Parametres!$G$2,$Q373=Parametres!$G$3),J373,D373)</f>
        <v>994.4</v>
      </c>
      <c r="P373" s="655">
        <f>+IF(OR($Q373=Parametres!$G$2,$Q373=Parametres!$G$3),K373,E373)</f>
        <v>2405.0100000000002</v>
      </c>
      <c r="Q373" s="654" t="str">
        <f t="shared" si="188"/>
        <v>7-Dépenses</v>
      </c>
      <c r="R373" s="653" t="str">
        <f t="shared" si="189"/>
        <v>6145</v>
      </c>
      <c r="S373" s="654" t="str">
        <f t="shared" si="190"/>
        <v>_</v>
      </c>
      <c r="T373" s="656" t="str">
        <f>+VLOOKUP($L373,Data_Validation!$A:$D,1,0)</f>
        <v>6745</v>
      </c>
      <c r="U373" s="656" t="str">
        <f>+VLOOKUP($L373,Data_Validation!$A:$D,3,0)</f>
        <v>Pièces</v>
      </c>
      <c r="V373" s="656" t="str">
        <f>+VLOOKUP($L373,Data_Validation!$A:$D,4,0)</f>
        <v>Frais véhicules de cie</v>
      </c>
      <c r="W373" s="656" t="str">
        <f>+VLOOKUP($L373,Data_Validation!$A:$E,5,0)</f>
        <v>$</v>
      </c>
      <c r="X373" s="656">
        <f>+VLOOKUP($L373,Data_Validation!$A:$F,6,0)</f>
        <v>0</v>
      </c>
    </row>
    <row r="374" spans="1:24" ht="15.75" customHeight="1">
      <c r="A374" s="1329" t="s">
        <v>1195</v>
      </c>
      <c r="B374" s="1329" t="s">
        <v>2696</v>
      </c>
      <c r="C374" s="1331">
        <v>-589.91</v>
      </c>
      <c r="D374" s="1331">
        <v>52.53</v>
      </c>
      <c r="E374" s="1331">
        <v>-537.38</v>
      </c>
      <c r="F374" s="1329" t="s">
        <v>1154</v>
      </c>
      <c r="G374" s="1329" t="s">
        <v>1196</v>
      </c>
      <c r="H374" s="1329" t="s">
        <v>3942</v>
      </c>
      <c r="I374" s="967"/>
      <c r="J374" s="967"/>
      <c r="K374" s="967"/>
      <c r="L374" s="653" t="str">
        <f t="shared" ref="L374:L437" si="191">TEXT(B374,0)</f>
        <v>6747</v>
      </c>
      <c r="M374" s="654" t="str">
        <f t="shared" ref="M374:M437" si="192">+A374</f>
        <v>FRET/EXPRESS/TRANS. PAR CAMION</v>
      </c>
      <c r="N374" s="655">
        <f>+IF(OR($Q374=Parametres!$G$2,$Q374=Parametres!$G$3),I374,C374)</f>
        <v>-589.91</v>
      </c>
      <c r="O374" s="655">
        <f>+IF(OR($Q374=Parametres!$G$2,$Q374=Parametres!$G$3),J374,D374)</f>
        <v>52.53</v>
      </c>
      <c r="P374" s="655">
        <f>+IF(OR($Q374=Parametres!$G$2,$Q374=Parametres!$G$3),K374,E374)</f>
        <v>-537.38</v>
      </c>
      <c r="Q374" s="654" t="str">
        <f t="shared" ref="Q374:Q437" si="193">+F374</f>
        <v>7-Dépenses</v>
      </c>
      <c r="R374" s="653" t="str">
        <f t="shared" ref="R374:R437" si="194">+G374</f>
        <v>6147</v>
      </c>
      <c r="S374" s="654" t="str">
        <f t="shared" ref="S374:S437" si="195">+H374</f>
        <v>_</v>
      </c>
      <c r="T374" s="656" t="str">
        <f>+VLOOKUP($L374,Data_Validation!$A:$D,1,0)</f>
        <v>6747</v>
      </c>
      <c r="U374" s="656" t="str">
        <f>+VLOOKUP($L374,Data_Validation!$A:$D,3,0)</f>
        <v>Pièces</v>
      </c>
      <c r="V374" s="656" t="str">
        <f>+VLOOKUP($L374,Data_Validation!$A:$D,4,0)</f>
        <v>Frais postaux</v>
      </c>
      <c r="W374" s="656" t="str">
        <f>+VLOOKUP($L374,Data_Validation!$A:$E,5,0)</f>
        <v>$</v>
      </c>
      <c r="X374" s="656">
        <f>+VLOOKUP($L374,Data_Validation!$A:$F,6,0)</f>
        <v>0</v>
      </c>
    </row>
    <row r="375" spans="1:24" ht="15.75" customHeight="1">
      <c r="A375" s="1329" t="s">
        <v>1197</v>
      </c>
      <c r="B375" s="1329" t="s">
        <v>2698</v>
      </c>
      <c r="C375" s="1331">
        <v>5686.73</v>
      </c>
      <c r="D375" s="1331">
        <v>2820.26</v>
      </c>
      <c r="E375" s="1331">
        <v>8506.99</v>
      </c>
      <c r="F375" s="1329" t="s">
        <v>1154</v>
      </c>
      <c r="G375" s="1329" t="s">
        <v>1198</v>
      </c>
      <c r="H375" s="1329" t="s">
        <v>3942</v>
      </c>
      <c r="I375" s="967"/>
      <c r="J375" s="967"/>
      <c r="K375" s="967"/>
      <c r="L375" s="653" t="str">
        <f t="shared" si="191"/>
        <v>6751</v>
      </c>
      <c r="M375" s="654" t="str">
        <f t="shared" si="192"/>
        <v>DEP. DU TRAITEMENT DES DONNEES</v>
      </c>
      <c r="N375" s="655">
        <f>+IF(OR($Q375=Parametres!$G$2,$Q375=Parametres!$G$3),I375,C375)</f>
        <v>5686.73</v>
      </c>
      <c r="O375" s="655">
        <f>+IF(OR($Q375=Parametres!$G$2,$Q375=Parametres!$G$3),J375,D375)</f>
        <v>2820.26</v>
      </c>
      <c r="P375" s="655">
        <f>+IF(OR($Q375=Parametres!$G$2,$Q375=Parametres!$G$3),K375,E375)</f>
        <v>8506.99</v>
      </c>
      <c r="Q375" s="654" t="str">
        <f t="shared" si="193"/>
        <v>7-Dépenses</v>
      </c>
      <c r="R375" s="653" t="str">
        <f t="shared" si="194"/>
        <v>6151</v>
      </c>
      <c r="S375" s="654" t="str">
        <f t="shared" si="195"/>
        <v>_</v>
      </c>
      <c r="T375" s="656" t="str">
        <f>+VLOOKUP($L375,Data_Validation!$A:$D,1,0)</f>
        <v>6751</v>
      </c>
      <c r="U375" s="656" t="str">
        <f>+VLOOKUP($L375,Data_Validation!$A:$D,3,0)</f>
        <v>Pièces</v>
      </c>
      <c r="V375" s="656" t="str">
        <f>+VLOOKUP($L375,Data_Validation!$A:$D,4,0)</f>
        <v>Informatique</v>
      </c>
      <c r="W375" s="656" t="str">
        <f>+VLOOKUP($L375,Data_Validation!$A:$E,5,0)</f>
        <v>$</v>
      </c>
      <c r="X375" s="656">
        <f>+VLOOKUP($L375,Data_Validation!$A:$F,6,0)</f>
        <v>0</v>
      </c>
    </row>
    <row r="376" spans="1:24" ht="15.75" customHeight="1">
      <c r="A376" s="1329" t="s">
        <v>1199</v>
      </c>
      <c r="B376" s="1329" t="s">
        <v>2701</v>
      </c>
      <c r="C376" s="1331">
        <v>30.79</v>
      </c>
      <c r="D376" s="1331">
        <v>743.21</v>
      </c>
      <c r="E376" s="1331">
        <v>774</v>
      </c>
      <c r="F376" s="1329" t="s">
        <v>1154</v>
      </c>
      <c r="G376" s="1329" t="s">
        <v>1200</v>
      </c>
      <c r="H376" s="1329" t="s">
        <v>3942</v>
      </c>
      <c r="I376" s="967"/>
      <c r="J376" s="967"/>
      <c r="K376" s="967"/>
      <c r="L376" s="653" t="str">
        <f t="shared" si="191"/>
        <v>6752</v>
      </c>
      <c r="M376" s="654" t="str">
        <f t="shared" si="192"/>
        <v>PAPETERIE</v>
      </c>
      <c r="N376" s="655">
        <f>+IF(OR($Q376=Parametres!$G$2,$Q376=Parametres!$G$3),I376,C376)</f>
        <v>30.79</v>
      </c>
      <c r="O376" s="655">
        <f>+IF(OR($Q376=Parametres!$G$2,$Q376=Parametres!$G$3),J376,D376)</f>
        <v>743.21</v>
      </c>
      <c r="P376" s="655">
        <f>+IF(OR($Q376=Parametres!$G$2,$Q376=Parametres!$G$3),K376,E376)</f>
        <v>774</v>
      </c>
      <c r="Q376" s="654" t="str">
        <f t="shared" si="193"/>
        <v>7-Dépenses</v>
      </c>
      <c r="R376" s="653" t="str">
        <f t="shared" si="194"/>
        <v>6152</v>
      </c>
      <c r="S376" s="654" t="str">
        <f t="shared" si="195"/>
        <v>_</v>
      </c>
      <c r="T376" s="656" t="str">
        <f>+VLOOKUP($L376,Data_Validation!$A:$D,1,0)</f>
        <v>6752</v>
      </c>
      <c r="U376" s="656" t="str">
        <f>+VLOOKUP($L376,Data_Validation!$A:$D,3,0)</f>
        <v>Pièces</v>
      </c>
      <c r="V376" s="656" t="str">
        <f>+VLOOKUP($L376,Data_Validation!$A:$D,4,0)</f>
        <v>Papeterie</v>
      </c>
      <c r="W376" s="656" t="str">
        <f>+VLOOKUP($L376,Data_Validation!$A:$E,5,0)</f>
        <v>$</v>
      </c>
      <c r="X376" s="656">
        <f>+VLOOKUP($L376,Data_Validation!$A:$F,6,0)</f>
        <v>0</v>
      </c>
    </row>
    <row r="377" spans="1:24" ht="15.75" customHeight="1">
      <c r="A377" s="1329" t="s">
        <v>1201</v>
      </c>
      <c r="B377" s="1329" t="s">
        <v>2704</v>
      </c>
      <c r="C377" s="1331">
        <v>255.27</v>
      </c>
      <c r="D377" s="1331">
        <v>125.37</v>
      </c>
      <c r="E377" s="1331">
        <v>380.64</v>
      </c>
      <c r="F377" s="1329" t="s">
        <v>1154</v>
      </c>
      <c r="G377" s="1329" t="s">
        <v>1202</v>
      </c>
      <c r="H377" s="1329" t="s">
        <v>3942</v>
      </c>
      <c r="I377" s="967"/>
      <c r="J377" s="967"/>
      <c r="K377" s="967"/>
      <c r="L377" s="653" t="str">
        <f t="shared" si="191"/>
        <v>6753</v>
      </c>
      <c r="M377" s="654" t="str">
        <f t="shared" si="192"/>
        <v>TELEPHONE ET TELEX</v>
      </c>
      <c r="N377" s="655">
        <f>+IF(OR($Q377=Parametres!$G$2,$Q377=Parametres!$G$3),I377,C377)</f>
        <v>255.27</v>
      </c>
      <c r="O377" s="655">
        <f>+IF(OR($Q377=Parametres!$G$2,$Q377=Parametres!$G$3),J377,D377)</f>
        <v>125.37</v>
      </c>
      <c r="P377" s="655">
        <f>+IF(OR($Q377=Parametres!$G$2,$Q377=Parametres!$G$3),K377,E377)</f>
        <v>380.64</v>
      </c>
      <c r="Q377" s="654" t="str">
        <f t="shared" si="193"/>
        <v>7-Dépenses</v>
      </c>
      <c r="R377" s="653" t="str">
        <f t="shared" si="194"/>
        <v>6153</v>
      </c>
      <c r="S377" s="654" t="str">
        <f t="shared" si="195"/>
        <v>_</v>
      </c>
      <c r="T377" s="656" t="str">
        <f>+VLOOKUP($L377,Data_Validation!$A:$D,1,0)</f>
        <v>6753</v>
      </c>
      <c r="U377" s="656" t="str">
        <f>+VLOOKUP($L377,Data_Validation!$A:$D,3,0)</f>
        <v>Pièces</v>
      </c>
      <c r="V377" s="656" t="str">
        <f>+VLOOKUP($L377,Data_Validation!$A:$D,4,0)</f>
        <v>Téléphone</v>
      </c>
      <c r="W377" s="656" t="str">
        <f>+VLOOKUP($L377,Data_Validation!$A:$E,5,0)</f>
        <v>$</v>
      </c>
      <c r="X377" s="656">
        <f>+VLOOKUP($L377,Data_Validation!$A:$F,6,0)</f>
        <v>0</v>
      </c>
    </row>
    <row r="378" spans="1:24" ht="15.75" customHeight="1">
      <c r="A378" s="1329" t="s">
        <v>1203</v>
      </c>
      <c r="B378" s="1329" t="s">
        <v>2707</v>
      </c>
      <c r="C378" s="1331">
        <v>402.8</v>
      </c>
      <c r="D378" s="1331">
        <v>27.36</v>
      </c>
      <c r="E378" s="1331">
        <v>430.16</v>
      </c>
      <c r="F378" s="1329" t="s">
        <v>1154</v>
      </c>
      <c r="G378" s="1329" t="s">
        <v>1204</v>
      </c>
      <c r="H378" s="1329" t="s">
        <v>3942</v>
      </c>
      <c r="I378" s="967"/>
      <c r="J378" s="967"/>
      <c r="K378" s="967"/>
      <c r="L378" s="653" t="str">
        <f t="shared" si="191"/>
        <v>6755</v>
      </c>
      <c r="M378" s="654" t="str">
        <f t="shared" si="192"/>
        <v>DEPENSES DIVERS</v>
      </c>
      <c r="N378" s="655">
        <f>+IF(OR($Q378=Parametres!$G$2,$Q378=Parametres!$G$3),I378,C378)</f>
        <v>402.8</v>
      </c>
      <c r="O378" s="655">
        <f>+IF(OR($Q378=Parametres!$G$2,$Q378=Parametres!$G$3),J378,D378)</f>
        <v>27.36</v>
      </c>
      <c r="P378" s="655">
        <f>+IF(OR($Q378=Parametres!$G$2,$Q378=Parametres!$G$3),K378,E378)</f>
        <v>430.16</v>
      </c>
      <c r="Q378" s="654" t="str">
        <f t="shared" si="193"/>
        <v>7-Dépenses</v>
      </c>
      <c r="R378" s="653" t="str">
        <f t="shared" si="194"/>
        <v>6155</v>
      </c>
      <c r="S378" s="654" t="str">
        <f t="shared" si="195"/>
        <v>_</v>
      </c>
      <c r="T378" s="656" t="str">
        <f>+VLOOKUP($L378,Data_Validation!$A:$D,1,0)</f>
        <v>6755</v>
      </c>
      <c r="U378" s="656" t="str">
        <f>+VLOOKUP($L378,Data_Validation!$A:$D,3,0)</f>
        <v>Pièces</v>
      </c>
      <c r="V378" s="656" t="str">
        <f>+VLOOKUP($L378,Data_Validation!$A:$D,4,0)</f>
        <v>Divers</v>
      </c>
      <c r="W378" s="656" t="str">
        <f>+VLOOKUP($L378,Data_Validation!$A:$E,5,0)</f>
        <v>$</v>
      </c>
      <c r="X378" s="656">
        <f>+VLOOKUP($L378,Data_Validation!$A:$F,6,0)</f>
        <v>0</v>
      </c>
    </row>
    <row r="379" spans="1:24" ht="15.75" customHeight="1">
      <c r="A379" s="1329" t="s">
        <v>1277</v>
      </c>
      <c r="B379" s="1329" t="s">
        <v>2710</v>
      </c>
      <c r="C379" s="1331">
        <v>335.76</v>
      </c>
      <c r="D379" s="1331">
        <v>478.9</v>
      </c>
      <c r="E379" s="1331">
        <v>814.66</v>
      </c>
      <c r="F379" s="1329" t="s">
        <v>1154</v>
      </c>
      <c r="G379" s="1329" t="s">
        <v>1206</v>
      </c>
      <c r="H379" s="1329" t="s">
        <v>3942</v>
      </c>
      <c r="I379" s="967"/>
      <c r="J379" s="967"/>
      <c r="K379" s="967"/>
      <c r="L379" s="653" t="str">
        <f t="shared" si="191"/>
        <v>6756</v>
      </c>
      <c r="M379" s="654" t="str">
        <f t="shared" si="192"/>
        <v>FRAIS REPRESENTATION - PIECES</v>
      </c>
      <c r="N379" s="655">
        <f>+IF(OR($Q379=Parametres!$G$2,$Q379=Parametres!$G$3),I379,C379)</f>
        <v>335.76</v>
      </c>
      <c r="O379" s="655">
        <f>+IF(OR($Q379=Parametres!$G$2,$Q379=Parametres!$G$3),J379,D379)</f>
        <v>478.9</v>
      </c>
      <c r="P379" s="655">
        <f>+IF(OR($Q379=Parametres!$G$2,$Q379=Parametres!$G$3),K379,E379)</f>
        <v>814.66</v>
      </c>
      <c r="Q379" s="654" t="str">
        <f t="shared" si="193"/>
        <v>7-Dépenses</v>
      </c>
      <c r="R379" s="653" t="str">
        <f t="shared" si="194"/>
        <v>6156</v>
      </c>
      <c r="S379" s="654" t="str">
        <f t="shared" si="195"/>
        <v>_</v>
      </c>
      <c r="T379" s="656" t="str">
        <f>+VLOOKUP($L379,Data_Validation!$A:$D,1,0)</f>
        <v>6756</v>
      </c>
      <c r="U379" s="656" t="str">
        <f>+VLOOKUP($L379,Data_Validation!$A:$D,3,0)</f>
        <v>Pièces</v>
      </c>
      <c r="V379" s="656" t="str">
        <f>+VLOOKUP($L379,Data_Validation!$A:$D,4,0)</f>
        <v>Frais de déplacement</v>
      </c>
      <c r="W379" s="656" t="str">
        <f>+VLOOKUP($L379,Data_Validation!$A:$E,5,0)</f>
        <v>$</v>
      </c>
      <c r="X379" s="656">
        <f>+VLOOKUP($L379,Data_Validation!$A:$F,6,0)</f>
        <v>0</v>
      </c>
    </row>
    <row r="380" spans="1:24" ht="15.75" customHeight="1">
      <c r="A380" s="1329" t="s">
        <v>1278</v>
      </c>
      <c r="B380" s="1329" t="s">
        <v>3400</v>
      </c>
      <c r="C380" s="1331">
        <v>1544.64</v>
      </c>
      <c r="D380" s="1331">
        <v>2699.6</v>
      </c>
      <c r="E380" s="1331">
        <v>4244.24</v>
      </c>
      <c r="F380" s="1329" t="s">
        <v>1154</v>
      </c>
      <c r="G380" s="1329" t="s">
        <v>3338</v>
      </c>
      <c r="H380" s="1329" t="s">
        <v>3942</v>
      </c>
      <c r="I380" s="967"/>
      <c r="J380" s="967"/>
      <c r="K380" s="967"/>
      <c r="L380" s="653" t="str">
        <f t="shared" si="191"/>
        <v>6757</v>
      </c>
      <c r="M380" s="654" t="str">
        <f t="shared" si="192"/>
        <v>FRAIS BANCAIRES - PIECES</v>
      </c>
      <c r="N380" s="655">
        <f>+IF(OR($Q380=Parametres!$G$2,$Q380=Parametres!$G$3),I380,C380)</f>
        <v>1544.64</v>
      </c>
      <c r="O380" s="655">
        <f>+IF(OR($Q380=Parametres!$G$2,$Q380=Parametres!$G$3),J380,D380)</f>
        <v>2699.6</v>
      </c>
      <c r="P380" s="655">
        <f>+IF(OR($Q380=Parametres!$G$2,$Q380=Parametres!$G$3),K380,E380)</f>
        <v>4244.24</v>
      </c>
      <c r="Q380" s="654" t="str">
        <f t="shared" si="193"/>
        <v>7-Dépenses</v>
      </c>
      <c r="R380" s="653" t="str">
        <f t="shared" si="194"/>
        <v>675</v>
      </c>
      <c r="S380" s="654" t="str">
        <f t="shared" si="195"/>
        <v>_</v>
      </c>
      <c r="T380" s="656" t="str">
        <f>+VLOOKUP($L380,Data_Validation!$A:$D,1,0)</f>
        <v>6757</v>
      </c>
      <c r="U380" s="656" t="str">
        <f>+VLOOKUP($L380,Data_Validation!$A:$D,3,0)</f>
        <v>Pièces</v>
      </c>
      <c r="V380" s="656" t="str">
        <f>+VLOOKUP($L380,Data_Validation!$A:$D,4,0)</f>
        <v>Frais bancaires</v>
      </c>
      <c r="W380" s="656" t="str">
        <f>+VLOOKUP($L380,Data_Validation!$A:$E,5,0)</f>
        <v>$</v>
      </c>
      <c r="X380" s="656">
        <f>+VLOOKUP($L380,Data_Validation!$A:$F,6,0)</f>
        <v>0</v>
      </c>
    </row>
    <row r="381" spans="1:24" ht="15.75" customHeight="1">
      <c r="A381" s="1329" t="s">
        <v>3888</v>
      </c>
      <c r="B381" s="1329" t="s">
        <v>3889</v>
      </c>
      <c r="C381" s="1331">
        <v>12820</v>
      </c>
      <c r="D381" s="1331">
        <v>1948.26</v>
      </c>
      <c r="E381" s="1331">
        <v>14768.26</v>
      </c>
      <c r="F381" s="1329" t="s">
        <v>1154</v>
      </c>
      <c r="G381" s="1329" t="s">
        <v>1210</v>
      </c>
      <c r="H381" s="1329" t="s">
        <v>3942</v>
      </c>
      <c r="I381" s="967"/>
      <c r="J381" s="967"/>
      <c r="K381" s="967"/>
      <c r="L381" s="653" t="str">
        <f t="shared" si="191"/>
        <v>6758</v>
      </c>
      <c r="M381" s="654" t="str">
        <f t="shared" si="192"/>
        <v>FRAIS DE LIVRAISON PIECES</v>
      </c>
      <c r="N381" s="655">
        <f>+IF(OR($Q381=Parametres!$G$2,$Q381=Parametres!$G$3),I381,C381)</f>
        <v>12820</v>
      </c>
      <c r="O381" s="655">
        <f>+IF(OR($Q381=Parametres!$G$2,$Q381=Parametres!$G$3),J381,D381)</f>
        <v>1948.26</v>
      </c>
      <c r="P381" s="655">
        <f>+IF(OR($Q381=Parametres!$G$2,$Q381=Parametres!$G$3),K381,E381)</f>
        <v>14768.26</v>
      </c>
      <c r="Q381" s="654" t="str">
        <f t="shared" si="193"/>
        <v>7-Dépenses</v>
      </c>
      <c r="R381" s="653" t="str">
        <f t="shared" si="194"/>
        <v>6159</v>
      </c>
      <c r="S381" s="654" t="str">
        <f t="shared" si="195"/>
        <v>_</v>
      </c>
      <c r="T381" s="656" t="str">
        <f>+VLOOKUP($L381,Data_Validation!$A:$D,1,0)</f>
        <v>6758</v>
      </c>
      <c r="U381" s="656" t="str">
        <f>+VLOOKUP($L381,Data_Validation!$A:$D,3,0)</f>
        <v>Pièces</v>
      </c>
      <c r="V381" s="656" t="str">
        <f>+VLOOKUP($L381,Data_Validation!$A:$D,4,0)</f>
        <v>Services extérieurs</v>
      </c>
      <c r="W381" s="656" t="str">
        <f>+VLOOKUP($L381,Data_Validation!$A:$E,5,0)</f>
        <v>$</v>
      </c>
      <c r="X381" s="656">
        <f>+VLOOKUP($L381,Data_Validation!$A:$F,6,0)</f>
        <v>0</v>
      </c>
    </row>
    <row r="382" spans="1:24" ht="15.75" customHeight="1">
      <c r="A382" s="1329" t="s">
        <v>1209</v>
      </c>
      <c r="B382" s="1329" t="s">
        <v>2713</v>
      </c>
      <c r="C382" s="1331">
        <v>5979.75</v>
      </c>
      <c r="D382" s="1331">
        <v>3529.61</v>
      </c>
      <c r="E382" s="1331">
        <v>9509.36</v>
      </c>
      <c r="F382" s="1329" t="s">
        <v>1154</v>
      </c>
      <c r="G382" s="1329" t="s">
        <v>1210</v>
      </c>
      <c r="H382" s="1329" t="s">
        <v>3942</v>
      </c>
      <c r="I382" s="967"/>
      <c r="J382" s="967"/>
      <c r="K382" s="967"/>
      <c r="L382" s="653" t="str">
        <f t="shared" si="191"/>
        <v>6759</v>
      </c>
      <c r="M382" s="654" t="str">
        <f t="shared" si="192"/>
        <v>SERVICE EXTERIEUR</v>
      </c>
      <c r="N382" s="655">
        <f>+IF(OR($Q382=Parametres!$G$2,$Q382=Parametres!$G$3),I382,C382)</f>
        <v>5979.75</v>
      </c>
      <c r="O382" s="655">
        <f>+IF(OR($Q382=Parametres!$G$2,$Q382=Parametres!$G$3),J382,D382)</f>
        <v>3529.61</v>
      </c>
      <c r="P382" s="655">
        <f>+IF(OR($Q382=Parametres!$G$2,$Q382=Parametres!$G$3),K382,E382)</f>
        <v>9509.36</v>
      </c>
      <c r="Q382" s="654" t="str">
        <f t="shared" si="193"/>
        <v>7-Dépenses</v>
      </c>
      <c r="R382" s="653" t="str">
        <f t="shared" si="194"/>
        <v>6159</v>
      </c>
      <c r="S382" s="654" t="str">
        <f t="shared" si="195"/>
        <v>_</v>
      </c>
      <c r="T382" s="656" t="str">
        <f>+VLOOKUP($L382,Data_Validation!$A:$D,1,0)</f>
        <v>6759</v>
      </c>
      <c r="U382" s="656" t="str">
        <f>+VLOOKUP($L382,Data_Validation!$A:$D,3,0)</f>
        <v>Pièces</v>
      </c>
      <c r="V382" s="656" t="str">
        <f>+VLOOKUP($L382,Data_Validation!$A:$D,4,0)</f>
        <v>Services extérieurs</v>
      </c>
      <c r="W382" s="656" t="str">
        <f>+VLOOKUP($L382,Data_Validation!$A:$E,5,0)</f>
        <v>$</v>
      </c>
      <c r="X382" s="656">
        <f>+VLOOKUP($L382,Data_Validation!$A:$F,6,0)</f>
        <v>0</v>
      </c>
    </row>
    <row r="383" spans="1:24" ht="15.75" customHeight="1">
      <c r="A383" s="1329" t="s">
        <v>1211</v>
      </c>
      <c r="B383" s="1329" t="s">
        <v>2716</v>
      </c>
      <c r="C383" s="1331">
        <v>2379.25</v>
      </c>
      <c r="D383" s="1331">
        <v>2379.25</v>
      </c>
      <c r="E383" s="1331">
        <v>4758.5</v>
      </c>
      <c r="F383" s="1329" t="s">
        <v>1154</v>
      </c>
      <c r="G383" s="1329" t="s">
        <v>1212</v>
      </c>
      <c r="H383" s="1329" t="s">
        <v>3942</v>
      </c>
      <c r="I383" s="967"/>
      <c r="J383" s="967"/>
      <c r="K383" s="967"/>
      <c r="L383" s="653" t="str">
        <f t="shared" si="191"/>
        <v>6761</v>
      </c>
      <c r="M383" s="654" t="str">
        <f t="shared" si="192"/>
        <v>DEPRECIATION EQUIP. &amp; FIXTURES</v>
      </c>
      <c r="N383" s="655">
        <f>+IF(OR($Q383=Parametres!$G$2,$Q383=Parametres!$G$3),I383,C383)</f>
        <v>2379.25</v>
      </c>
      <c r="O383" s="655">
        <f>+IF(OR($Q383=Parametres!$G$2,$Q383=Parametres!$G$3),J383,D383)</f>
        <v>2379.25</v>
      </c>
      <c r="P383" s="655">
        <f>+IF(OR($Q383=Parametres!$G$2,$Q383=Parametres!$G$3),K383,E383)</f>
        <v>4758.5</v>
      </c>
      <c r="Q383" s="654" t="str">
        <f t="shared" si="193"/>
        <v>7-Dépenses</v>
      </c>
      <c r="R383" s="653" t="str">
        <f t="shared" si="194"/>
        <v>6161</v>
      </c>
      <c r="S383" s="654" t="str">
        <f t="shared" si="195"/>
        <v>_</v>
      </c>
      <c r="T383" s="656" t="str">
        <f>+VLOOKUP($L383,Data_Validation!$A:$D,1,0)</f>
        <v>6761</v>
      </c>
      <c r="U383" s="656" t="str">
        <f>+VLOOKUP($L383,Data_Validation!$A:$D,3,0)</f>
        <v>Pièces</v>
      </c>
      <c r="V383" s="656" t="str">
        <f>+VLOOKUP($L383,Data_Validation!$A:$D,4,0)</f>
        <v>Amortissement</v>
      </c>
      <c r="W383" s="656" t="str">
        <f>+VLOOKUP($L383,Data_Validation!$A:$E,5,0)</f>
        <v>$</v>
      </c>
      <c r="X383" s="656">
        <f>+VLOOKUP($L383,Data_Validation!$A:$F,6,0)</f>
        <v>0</v>
      </c>
    </row>
    <row r="384" spans="1:24" ht="15.75" customHeight="1">
      <c r="A384" s="1329" t="s">
        <v>1279</v>
      </c>
      <c r="B384" s="1329" t="s">
        <v>2725</v>
      </c>
      <c r="C384" s="1331">
        <v>3545.6</v>
      </c>
      <c r="D384" s="1331">
        <v>1856.28</v>
      </c>
      <c r="E384" s="1331">
        <v>5401.88</v>
      </c>
      <c r="F384" s="1329" t="s">
        <v>1154</v>
      </c>
      <c r="G384" s="1329" t="s">
        <v>1214</v>
      </c>
      <c r="H384" s="1329" t="s">
        <v>3942</v>
      </c>
      <c r="I384" s="967"/>
      <c r="J384" s="967"/>
      <c r="K384" s="967"/>
      <c r="L384" s="653" t="str">
        <f t="shared" si="191"/>
        <v>6781</v>
      </c>
      <c r="M384" s="654" t="str">
        <f t="shared" si="192"/>
        <v>CHAUFFAGE,ELECTRICITE,EAU-PIECES</v>
      </c>
      <c r="N384" s="655">
        <f>+IF(OR($Q384=Parametres!$G$2,$Q384=Parametres!$G$3),I384,C384)</f>
        <v>3545.6</v>
      </c>
      <c r="O384" s="655">
        <f>+IF(OR($Q384=Parametres!$G$2,$Q384=Parametres!$G$3),J384,D384)</f>
        <v>1856.28</v>
      </c>
      <c r="P384" s="655">
        <f>+IF(OR($Q384=Parametres!$G$2,$Q384=Parametres!$G$3),K384,E384)</f>
        <v>5401.88</v>
      </c>
      <c r="Q384" s="654" t="str">
        <f t="shared" si="193"/>
        <v>7-Dépenses</v>
      </c>
      <c r="R384" s="653" t="str">
        <f t="shared" si="194"/>
        <v>6181</v>
      </c>
      <c r="S384" s="654" t="str">
        <f t="shared" si="195"/>
        <v>_</v>
      </c>
      <c r="T384" s="656" t="str">
        <f>+VLOOKUP($L384,Data_Validation!$A:$D,1,0)</f>
        <v>6781</v>
      </c>
      <c r="U384" s="656" t="str">
        <f>+VLOOKUP($L384,Data_Validation!$A:$D,3,0)</f>
        <v>Pièces</v>
      </c>
      <c r="V384" s="656" t="str">
        <f>+VLOOKUP($L384,Data_Validation!$A:$D,4,0)</f>
        <v>Chauffage, éclairage</v>
      </c>
      <c r="W384" s="656" t="str">
        <f>+VLOOKUP($L384,Data_Validation!$A:$E,5,0)</f>
        <v>$</v>
      </c>
      <c r="X384" s="656">
        <f>+VLOOKUP($L384,Data_Validation!$A:$F,6,0)</f>
        <v>0</v>
      </c>
    </row>
    <row r="385" spans="1:24" ht="15.75" customHeight="1">
      <c r="A385" s="1329" t="s">
        <v>1280</v>
      </c>
      <c r="B385" s="1329" t="s">
        <v>2728</v>
      </c>
      <c r="C385" s="1331">
        <v>11500</v>
      </c>
      <c r="D385" s="1331">
        <v>19875</v>
      </c>
      <c r="E385" s="1331">
        <v>31375</v>
      </c>
      <c r="F385" s="1329" t="s">
        <v>1154</v>
      </c>
      <c r="G385" s="1329" t="s">
        <v>1216</v>
      </c>
      <c r="H385" s="1329" t="s">
        <v>3942</v>
      </c>
      <c r="I385" s="967"/>
      <c r="J385" s="967"/>
      <c r="K385" s="967"/>
      <c r="L385" s="653" t="str">
        <f t="shared" si="191"/>
        <v>6782</v>
      </c>
      <c r="M385" s="654" t="str">
        <f t="shared" si="192"/>
        <v>LOYER - PIECES</v>
      </c>
      <c r="N385" s="655">
        <f>+IF(OR($Q385=Parametres!$G$2,$Q385=Parametres!$G$3),I385,C385)</f>
        <v>11500</v>
      </c>
      <c r="O385" s="655">
        <f>+IF(OR($Q385=Parametres!$G$2,$Q385=Parametres!$G$3),J385,D385)</f>
        <v>19875</v>
      </c>
      <c r="P385" s="655">
        <f>+IF(OR($Q385=Parametres!$G$2,$Q385=Parametres!$G$3),K385,E385)</f>
        <v>31375</v>
      </c>
      <c r="Q385" s="654" t="str">
        <f t="shared" si="193"/>
        <v>7-Dépenses</v>
      </c>
      <c r="R385" s="653" t="str">
        <f t="shared" si="194"/>
        <v>6182</v>
      </c>
      <c r="S385" s="654" t="str">
        <f t="shared" si="195"/>
        <v>_</v>
      </c>
      <c r="T385" s="656" t="str">
        <f>+VLOOKUP($L385,Data_Validation!$A:$D,1,0)</f>
        <v>6782</v>
      </c>
      <c r="U385" s="656" t="str">
        <f>+VLOOKUP($L385,Data_Validation!$A:$D,3,0)</f>
        <v>Pièces</v>
      </c>
      <c r="V385" s="656" t="str">
        <f>+VLOOKUP($L385,Data_Validation!$A:$D,4,0)</f>
        <v>Loyer</v>
      </c>
      <c r="W385" s="656" t="str">
        <f>+VLOOKUP($L385,Data_Validation!$A:$E,5,0)</f>
        <v>$</v>
      </c>
      <c r="X385" s="656">
        <f>+VLOOKUP($L385,Data_Validation!$A:$F,6,0)</f>
        <v>0</v>
      </c>
    </row>
    <row r="386" spans="1:24" ht="15.75" customHeight="1">
      <c r="A386" s="1329" t="s">
        <v>1281</v>
      </c>
      <c r="B386" s="1329" t="s">
        <v>2731</v>
      </c>
      <c r="C386" s="1331">
        <v>1086.06</v>
      </c>
      <c r="D386" s="1331">
        <v>890</v>
      </c>
      <c r="E386" s="1331">
        <v>1976.06</v>
      </c>
      <c r="F386" s="1329" t="s">
        <v>1154</v>
      </c>
      <c r="G386" s="1329" t="s">
        <v>1218</v>
      </c>
      <c r="H386" s="1329" t="s">
        <v>3942</v>
      </c>
      <c r="I386" s="967"/>
      <c r="J386" s="967"/>
      <c r="K386" s="967"/>
      <c r="L386" s="653" t="str">
        <f t="shared" si="191"/>
        <v>6786</v>
      </c>
      <c r="M386" s="654" t="str">
        <f t="shared" si="192"/>
        <v>ASSURANCE BATISSE &amp; AMEL.-PIECES</v>
      </c>
      <c r="N386" s="655">
        <f>+IF(OR($Q386=Parametres!$G$2,$Q386=Parametres!$G$3),I386,C386)</f>
        <v>1086.06</v>
      </c>
      <c r="O386" s="655">
        <f>+IF(OR($Q386=Parametres!$G$2,$Q386=Parametres!$G$3),J386,D386)</f>
        <v>890</v>
      </c>
      <c r="P386" s="655">
        <f>+IF(OR($Q386=Parametres!$G$2,$Q386=Parametres!$G$3),K386,E386)</f>
        <v>1976.06</v>
      </c>
      <c r="Q386" s="654" t="str">
        <f t="shared" si="193"/>
        <v>7-Dépenses</v>
      </c>
      <c r="R386" s="653" t="str">
        <f t="shared" si="194"/>
        <v>6186</v>
      </c>
      <c r="S386" s="654" t="str">
        <f t="shared" si="195"/>
        <v>_</v>
      </c>
      <c r="T386" s="656" t="str">
        <f>+VLOOKUP($L386,Data_Validation!$A:$D,1,0)</f>
        <v>6786</v>
      </c>
      <c r="U386" s="656" t="str">
        <f>+VLOOKUP($L386,Data_Validation!$A:$D,3,0)</f>
        <v>Pièces</v>
      </c>
      <c r="V386" s="656" t="str">
        <f>+VLOOKUP($L386,Data_Validation!$A:$D,4,0)</f>
        <v>Assurances</v>
      </c>
      <c r="W386" s="656" t="str">
        <f>+VLOOKUP($L386,Data_Validation!$A:$E,5,0)</f>
        <v>$</v>
      </c>
      <c r="X386" s="656">
        <f>+VLOOKUP($L386,Data_Validation!$A:$F,6,0)</f>
        <v>0</v>
      </c>
    </row>
    <row r="387" spans="1:24" ht="15.75" customHeight="1">
      <c r="A387" s="1329" t="s">
        <v>1282</v>
      </c>
      <c r="B387" s="1329" t="s">
        <v>2734</v>
      </c>
      <c r="C387" s="1331">
        <v>4125</v>
      </c>
      <c r="D387" s="1331">
        <v>4125</v>
      </c>
      <c r="E387" s="1331">
        <v>8250</v>
      </c>
      <c r="F387" s="1329" t="s">
        <v>1154</v>
      </c>
      <c r="G387" s="1329" t="s">
        <v>1220</v>
      </c>
      <c r="H387" s="1329" t="s">
        <v>3942</v>
      </c>
      <c r="I387" s="967"/>
      <c r="J387" s="967"/>
      <c r="K387" s="967"/>
      <c r="L387" s="653" t="str">
        <f t="shared" si="191"/>
        <v>6787</v>
      </c>
      <c r="M387" s="654" t="str">
        <f t="shared" si="192"/>
        <v>TAXES FONCIERES - PIECES</v>
      </c>
      <c r="N387" s="655">
        <f>+IF(OR($Q387=Parametres!$G$2,$Q387=Parametres!$G$3),I387,C387)</f>
        <v>4125</v>
      </c>
      <c r="O387" s="655">
        <f>+IF(OR($Q387=Parametres!$G$2,$Q387=Parametres!$G$3),J387,D387)</f>
        <v>4125</v>
      </c>
      <c r="P387" s="655">
        <f>+IF(OR($Q387=Parametres!$G$2,$Q387=Parametres!$G$3),K387,E387)</f>
        <v>8250</v>
      </c>
      <c r="Q387" s="654" t="str">
        <f t="shared" si="193"/>
        <v>7-Dépenses</v>
      </c>
      <c r="R387" s="653" t="str">
        <f t="shared" si="194"/>
        <v>6187</v>
      </c>
      <c r="S387" s="654" t="str">
        <f t="shared" si="195"/>
        <v>_</v>
      </c>
      <c r="T387" s="656" t="str">
        <f>+VLOOKUP($L387,Data_Validation!$A:$D,1,0)</f>
        <v>6787</v>
      </c>
      <c r="U387" s="656" t="str">
        <f>+VLOOKUP($L387,Data_Validation!$A:$D,3,0)</f>
        <v>Pièces</v>
      </c>
      <c r="V387" s="656" t="str">
        <f>+VLOOKUP($L387,Data_Validation!$A:$D,4,0)</f>
        <v>Taxes foncières</v>
      </c>
      <c r="W387" s="656" t="str">
        <f>+VLOOKUP($L387,Data_Validation!$A:$E,5,0)</f>
        <v>$</v>
      </c>
      <c r="X387" s="656">
        <f>+VLOOKUP($L387,Data_Validation!$A:$F,6,0)</f>
        <v>0</v>
      </c>
    </row>
    <row r="388" spans="1:24" ht="15.75" customHeight="1">
      <c r="A388" s="1329" t="s">
        <v>1283</v>
      </c>
      <c r="B388" s="1329" t="s">
        <v>2737</v>
      </c>
      <c r="C388" s="1331">
        <v>375</v>
      </c>
      <c r="D388" s="1331">
        <v>375</v>
      </c>
      <c r="E388" s="1331">
        <v>750</v>
      </c>
      <c r="F388" s="1329" t="s">
        <v>1154</v>
      </c>
      <c r="G388" s="1329" t="s">
        <v>1222</v>
      </c>
      <c r="H388" s="1329" t="s">
        <v>3942</v>
      </c>
      <c r="I388" s="967"/>
      <c r="J388" s="967"/>
      <c r="K388" s="967"/>
      <c r="L388" s="653" t="str">
        <f t="shared" si="191"/>
        <v>6793</v>
      </c>
      <c r="M388" s="654" t="str">
        <f t="shared" si="192"/>
        <v>AUTRES TAXES - PIECES</v>
      </c>
      <c r="N388" s="655">
        <f>+IF(OR($Q388=Parametres!$G$2,$Q388=Parametres!$G$3),I388,C388)</f>
        <v>375</v>
      </c>
      <c r="O388" s="655">
        <f>+IF(OR($Q388=Parametres!$G$2,$Q388=Parametres!$G$3),J388,D388)</f>
        <v>375</v>
      </c>
      <c r="P388" s="655">
        <f>+IF(OR($Q388=Parametres!$G$2,$Q388=Parametres!$G$3),K388,E388)</f>
        <v>750</v>
      </c>
      <c r="Q388" s="654" t="str">
        <f t="shared" si="193"/>
        <v>7-Dépenses</v>
      </c>
      <c r="R388" s="653" t="str">
        <f t="shared" si="194"/>
        <v>6193</v>
      </c>
      <c r="S388" s="654" t="str">
        <f t="shared" si="195"/>
        <v>_</v>
      </c>
      <c r="T388" s="656" t="str">
        <f>+VLOOKUP($L388,Data_Validation!$A:$D,1,0)</f>
        <v>6793</v>
      </c>
      <c r="U388" s="656" t="str">
        <f>+VLOOKUP($L388,Data_Validation!$A:$D,3,0)</f>
        <v>Pièces</v>
      </c>
      <c r="V388" s="656" t="str">
        <f>+VLOOKUP($L388,Data_Validation!$A:$D,4,0)</f>
        <v>Taxes d`affaires</v>
      </c>
      <c r="W388" s="656" t="str">
        <f>+VLOOKUP($L388,Data_Validation!$A:$E,5,0)</f>
        <v>$</v>
      </c>
      <c r="X388" s="656">
        <f>+VLOOKUP($L388,Data_Validation!$A:$F,6,0)</f>
        <v>0</v>
      </c>
    </row>
    <row r="389" spans="1:24" ht="15.75" customHeight="1">
      <c r="A389" s="1329" t="s">
        <v>1284</v>
      </c>
      <c r="B389" s="1329" t="s">
        <v>2740</v>
      </c>
      <c r="C389" s="1331">
        <v>1605.83</v>
      </c>
      <c r="D389" s="1331">
        <v>9853.7800000000007</v>
      </c>
      <c r="E389" s="1331">
        <v>11459.61</v>
      </c>
      <c r="F389" s="1329" t="s">
        <v>1154</v>
      </c>
      <c r="G389" s="1329" t="s">
        <v>1224</v>
      </c>
      <c r="H389" s="1329" t="s">
        <v>3942</v>
      </c>
      <c r="I389" s="967"/>
      <c r="J389" s="967"/>
      <c r="K389" s="967"/>
      <c r="L389" s="653" t="str">
        <f t="shared" si="191"/>
        <v>6794</v>
      </c>
      <c r="M389" s="654" t="str">
        <f t="shared" si="192"/>
        <v>FRAIS PROFESSIONNEL-PIECES</v>
      </c>
      <c r="N389" s="655">
        <f>+IF(OR($Q389=Parametres!$G$2,$Q389=Parametres!$G$3),I389,C389)</f>
        <v>1605.83</v>
      </c>
      <c r="O389" s="655">
        <f>+IF(OR($Q389=Parametres!$G$2,$Q389=Parametres!$G$3),J389,D389)</f>
        <v>9853.7800000000007</v>
      </c>
      <c r="P389" s="655">
        <f>+IF(OR($Q389=Parametres!$G$2,$Q389=Parametres!$G$3),K389,E389)</f>
        <v>11459.61</v>
      </c>
      <c r="Q389" s="654" t="str">
        <f t="shared" si="193"/>
        <v>7-Dépenses</v>
      </c>
      <c r="R389" s="653" t="str">
        <f t="shared" si="194"/>
        <v>6194</v>
      </c>
      <c r="S389" s="654" t="str">
        <f t="shared" si="195"/>
        <v>_</v>
      </c>
      <c r="T389" s="656" t="str">
        <f>+VLOOKUP($L389,Data_Validation!$A:$D,1,0)</f>
        <v>6794</v>
      </c>
      <c r="U389" s="656" t="str">
        <f>+VLOOKUP($L389,Data_Validation!$A:$D,3,0)</f>
        <v>Pièces</v>
      </c>
      <c r="V389" s="656" t="str">
        <f>+VLOOKUP($L389,Data_Validation!$A:$D,4,0)</f>
        <v>Honoraires</v>
      </c>
      <c r="W389" s="656" t="str">
        <f>+VLOOKUP($L389,Data_Validation!$A:$E,5,0)</f>
        <v>$</v>
      </c>
      <c r="X389" s="656">
        <f>+VLOOKUP($L389,Data_Validation!$A:$F,6,0)</f>
        <v>0</v>
      </c>
    </row>
    <row r="390" spans="1:24" ht="15.75" customHeight="1">
      <c r="A390" s="1329" t="s">
        <v>1287</v>
      </c>
      <c r="B390" s="1329" t="s">
        <v>2751</v>
      </c>
      <c r="C390" s="1331">
        <v>-67128</v>
      </c>
      <c r="D390" s="1331">
        <v>-71589</v>
      </c>
      <c r="E390" s="1331">
        <v>-138717</v>
      </c>
      <c r="F390" s="1329" t="s">
        <v>1285</v>
      </c>
      <c r="G390" s="1329" t="s">
        <v>1286</v>
      </c>
      <c r="H390" s="1329" t="s">
        <v>3942</v>
      </c>
      <c r="I390" s="967"/>
      <c r="J390" s="967"/>
      <c r="K390" s="967"/>
      <c r="L390" s="653" t="str">
        <f t="shared" si="191"/>
        <v>9149</v>
      </c>
      <c r="M390" s="654" t="str">
        <f t="shared" si="192"/>
        <v>REVENU RESERVE VOLKS</v>
      </c>
      <c r="N390" s="655">
        <f>+IF(OR($Q390=Parametres!$G$2,$Q390=Parametres!$G$3),I390,C390)</f>
        <v>-67128</v>
      </c>
      <c r="O390" s="655">
        <f>+IF(OR($Q390=Parametres!$G$2,$Q390=Parametres!$G$3),J390,D390)</f>
        <v>-71589</v>
      </c>
      <c r="P390" s="655">
        <f>+IF(OR($Q390=Parametres!$G$2,$Q390=Parametres!$G$3),K390,E390)</f>
        <v>-138717</v>
      </c>
      <c r="Q390" s="654" t="str">
        <f t="shared" si="193"/>
        <v>8-Autres revenus</v>
      </c>
      <c r="R390" s="653" t="str">
        <f t="shared" si="194"/>
        <v>9101</v>
      </c>
      <c r="S390" s="654" t="str">
        <f t="shared" si="195"/>
        <v>_</v>
      </c>
      <c r="T390" s="656" t="str">
        <f>+VLOOKUP($L390,Data_Validation!$A:$D,1,0)</f>
        <v>9149</v>
      </c>
      <c r="U390" s="656" t="str">
        <f>+VLOOKUP($L390,Data_Validation!$A:$D,3,0)</f>
        <v>Véhicules neufs</v>
      </c>
      <c r="V390" s="656" t="str">
        <f>+VLOOKUP($L390,Data_Validation!$A:$D,4,0)</f>
        <v>Holdbacks</v>
      </c>
      <c r="W390" s="656" t="str">
        <f>+VLOOKUP($L390,Data_Validation!$A:$E,5,0)</f>
        <v>$</v>
      </c>
      <c r="X390" s="656">
        <f>+VLOOKUP($L390,Data_Validation!$A:$F,6,0)</f>
        <v>0</v>
      </c>
    </row>
    <row r="391" spans="1:24" ht="15.75" customHeight="1">
      <c r="A391" s="1329" t="s">
        <v>1288</v>
      </c>
      <c r="B391" s="1329" t="s">
        <v>1289</v>
      </c>
      <c r="C391" s="1331">
        <v>-8154.17</v>
      </c>
      <c r="D391" s="1331">
        <v>-9709.86</v>
      </c>
      <c r="E391" s="1331">
        <v>-17864.03</v>
      </c>
      <c r="F391" s="1329" t="s">
        <v>1285</v>
      </c>
      <c r="G391" s="1329" t="s">
        <v>1289</v>
      </c>
      <c r="H391" s="1329" t="s">
        <v>3942</v>
      </c>
      <c r="I391" s="967"/>
      <c r="J391" s="967"/>
      <c r="K391" s="967"/>
      <c r="L391" s="653" t="str">
        <f t="shared" si="191"/>
        <v>9152</v>
      </c>
      <c r="M391" s="654" t="str">
        <f t="shared" si="192"/>
        <v>ESCOMPTES SUR ACHAT PIECES</v>
      </c>
      <c r="N391" s="655">
        <f>+IF(OR($Q391=Parametres!$G$2,$Q391=Parametres!$G$3),I391,C391)</f>
        <v>-8154.17</v>
      </c>
      <c r="O391" s="655">
        <f>+IF(OR($Q391=Parametres!$G$2,$Q391=Parametres!$G$3),J391,D391)</f>
        <v>-9709.86</v>
      </c>
      <c r="P391" s="655">
        <f>+IF(OR($Q391=Parametres!$G$2,$Q391=Parametres!$G$3),K391,E391)</f>
        <v>-17864.03</v>
      </c>
      <c r="Q391" s="654" t="str">
        <f t="shared" si="193"/>
        <v>8-Autres revenus</v>
      </c>
      <c r="R391" s="653" t="str">
        <f t="shared" si="194"/>
        <v>9152</v>
      </c>
      <c r="S391" s="654" t="str">
        <f t="shared" si="195"/>
        <v>_</v>
      </c>
      <c r="T391" s="656" t="str">
        <f>+VLOOKUP($L391,Data_Validation!$A:$D,1,0)</f>
        <v>9152</v>
      </c>
      <c r="U391" s="656" t="str">
        <f>+VLOOKUP($L391,Data_Validation!$A:$D,3,0)</f>
        <v>Pièces</v>
      </c>
      <c r="V391" s="656" t="str">
        <f>+VLOOKUP($L391,Data_Validation!$A:$D,4,0)</f>
        <v>Escomptes</v>
      </c>
      <c r="W391" s="656" t="str">
        <f>+VLOOKUP($L391,Data_Validation!$A:$E,5,0)</f>
        <v>$</v>
      </c>
      <c r="X391" s="656">
        <f>+VLOOKUP($L391,Data_Validation!$A:$F,6,0)</f>
        <v>0</v>
      </c>
    </row>
    <row r="392" spans="1:24" ht="15.75" customHeight="1">
      <c r="A392" s="1329" t="s">
        <v>3414</v>
      </c>
      <c r="B392" s="1329" t="s">
        <v>2756</v>
      </c>
      <c r="C392" s="1331">
        <v>-12300</v>
      </c>
      <c r="D392" s="1331">
        <v>-17400</v>
      </c>
      <c r="E392" s="1331">
        <v>-29700</v>
      </c>
      <c r="F392" s="1329" t="s">
        <v>1285</v>
      </c>
      <c r="G392" s="1329" t="s">
        <v>3415</v>
      </c>
      <c r="H392" s="1329" t="s">
        <v>3942</v>
      </c>
      <c r="I392" s="967"/>
      <c r="J392" s="967"/>
      <c r="K392" s="967"/>
      <c r="L392" s="653" t="str">
        <f t="shared" si="191"/>
        <v>9157</v>
      </c>
      <c r="M392" s="654" t="str">
        <f t="shared" si="192"/>
        <v>BONUS EXPERIENCE + - NV</v>
      </c>
      <c r="N392" s="655">
        <f>+IF(OR($Q392=Parametres!$G$2,$Q392=Parametres!$G$3),I392,C392)</f>
        <v>-12300</v>
      </c>
      <c r="O392" s="655">
        <f>+IF(OR($Q392=Parametres!$G$2,$Q392=Parametres!$G$3),J392,D392)</f>
        <v>-17400</v>
      </c>
      <c r="P392" s="655">
        <f>+IF(OR($Q392=Parametres!$G$2,$Q392=Parametres!$G$3),K392,E392)</f>
        <v>-29700</v>
      </c>
      <c r="Q392" s="654" t="str">
        <f t="shared" si="193"/>
        <v>8-Autres revenus</v>
      </c>
      <c r="R392" s="653" t="str">
        <f t="shared" si="194"/>
        <v>915</v>
      </c>
      <c r="S392" s="654" t="str">
        <f t="shared" si="195"/>
        <v>_</v>
      </c>
      <c r="T392" s="656" t="str">
        <f>+VLOOKUP($L392,Data_Validation!$A:$D,1,0)</f>
        <v>9157</v>
      </c>
      <c r="U392" s="656" t="str">
        <f>+VLOOKUP($L392,Data_Validation!$A:$D,3,0)</f>
        <v>Véhicules neufs</v>
      </c>
      <c r="V392" s="656" t="str">
        <f>+VLOOKUP($L392,Data_Validation!$A:$D,4,0)</f>
        <v>Programme neuf 1</v>
      </c>
      <c r="W392" s="656" t="str">
        <f>+VLOOKUP($L392,Data_Validation!$A:$E,5,0)</f>
        <v>$</v>
      </c>
      <c r="X392" s="656">
        <f>+VLOOKUP($L392,Data_Validation!$A:$F,6,0)</f>
        <v>0</v>
      </c>
    </row>
    <row r="393" spans="1:24" ht="15.75" customHeight="1">
      <c r="A393" s="1329" t="s">
        <v>1290</v>
      </c>
      <c r="B393" s="1329" t="s">
        <v>1291</v>
      </c>
      <c r="C393" s="1331">
        <v>-2265.35</v>
      </c>
      <c r="D393" s="1331">
        <v>0</v>
      </c>
      <c r="E393" s="1331">
        <v>-2265.35</v>
      </c>
      <c r="F393" s="1329" t="s">
        <v>1285</v>
      </c>
      <c r="G393" s="1329" t="s">
        <v>1291</v>
      </c>
      <c r="H393" s="1329" t="s">
        <v>3942</v>
      </c>
      <c r="I393" s="967"/>
      <c r="J393" s="967"/>
      <c r="K393" s="967"/>
      <c r="L393" s="653" t="str">
        <f t="shared" si="191"/>
        <v>9161</v>
      </c>
      <c r="M393" s="654" t="str">
        <f t="shared" si="192"/>
        <v>REVENU FIN ET ASS NEUF</v>
      </c>
      <c r="N393" s="655">
        <f>+IF(OR($Q393=Parametres!$G$2,$Q393=Parametres!$G$3),I393,C393)</f>
        <v>-2265.35</v>
      </c>
      <c r="O393" s="655">
        <f>+IF(OR($Q393=Parametres!$G$2,$Q393=Parametres!$G$3),J393,D393)</f>
        <v>0</v>
      </c>
      <c r="P393" s="655">
        <f>+IF(OR($Q393=Parametres!$G$2,$Q393=Parametres!$G$3),K393,E393)</f>
        <v>-2265.35</v>
      </c>
      <c r="Q393" s="654" t="str">
        <f t="shared" si="193"/>
        <v>8-Autres revenus</v>
      </c>
      <c r="R393" s="653" t="str">
        <f t="shared" si="194"/>
        <v>9161</v>
      </c>
      <c r="S393" s="654" t="str">
        <f t="shared" si="195"/>
        <v>_</v>
      </c>
      <c r="T393" s="656" t="str">
        <f>+VLOOKUP($L393,Data_Validation!$A:$D,1,0)</f>
        <v>9161</v>
      </c>
      <c r="U393" s="656" t="str">
        <f>+VLOOKUP($L393,Data_Validation!$A:$D,3,0)</f>
        <v>Véhicules neufs</v>
      </c>
      <c r="V393" s="656" t="str">
        <f>+VLOOKUP($L393,Data_Validation!$A:$D,4,0)</f>
        <v>Rev. Finances</v>
      </c>
      <c r="W393" s="656" t="str">
        <f>+VLOOKUP($L393,Data_Validation!$A:$E,5,0)</f>
        <v>$</v>
      </c>
      <c r="X393" s="656" t="str">
        <f>+VLOOKUP($L393,Data_Validation!$A:$F,6,0)</f>
        <v>Oui</v>
      </c>
    </row>
    <row r="394" spans="1:24" ht="15.75" customHeight="1">
      <c r="A394" s="1329" t="s">
        <v>1294</v>
      </c>
      <c r="B394" s="1329" t="s">
        <v>1295</v>
      </c>
      <c r="C394" s="1331">
        <v>-7855.36</v>
      </c>
      <c r="D394" s="1331">
        <v>-3739.3</v>
      </c>
      <c r="E394" s="1331">
        <v>-11594.66</v>
      </c>
      <c r="F394" s="1329" t="s">
        <v>1285</v>
      </c>
      <c r="G394" s="1329" t="s">
        <v>1295</v>
      </c>
      <c r="H394" s="1329" t="s">
        <v>3942</v>
      </c>
      <c r="I394" s="967"/>
      <c r="J394" s="967"/>
      <c r="K394" s="967"/>
      <c r="L394" s="653" t="str">
        <f t="shared" si="191"/>
        <v>9163</v>
      </c>
      <c r="M394" s="654" t="str">
        <f t="shared" si="192"/>
        <v>RESERVE FIN ET ASS VEH OCCASION</v>
      </c>
      <c r="N394" s="655">
        <f>+IF(OR($Q394=Parametres!$G$2,$Q394=Parametres!$G$3),I394,C394)</f>
        <v>-7855.36</v>
      </c>
      <c r="O394" s="655">
        <f>+IF(OR($Q394=Parametres!$G$2,$Q394=Parametres!$G$3),J394,D394)</f>
        <v>-3739.3</v>
      </c>
      <c r="P394" s="655">
        <f>+IF(OR($Q394=Parametres!$G$2,$Q394=Parametres!$G$3),K394,E394)</f>
        <v>-11594.66</v>
      </c>
      <c r="Q394" s="654" t="str">
        <f t="shared" si="193"/>
        <v>8-Autres revenus</v>
      </c>
      <c r="R394" s="653" t="str">
        <f t="shared" si="194"/>
        <v>9163</v>
      </c>
      <c r="S394" s="654" t="str">
        <f t="shared" si="195"/>
        <v>_</v>
      </c>
      <c r="T394" s="656" t="str">
        <f>+VLOOKUP($L394,Data_Validation!$A:$D,1,0)</f>
        <v>9163</v>
      </c>
      <c r="U394" s="656" t="str">
        <f>+VLOOKUP($L394,Data_Validation!$A:$D,3,0)</f>
        <v>Véhicules usagés</v>
      </c>
      <c r="V394" s="656" t="str">
        <f>+VLOOKUP($L394,Data_Validation!$A:$D,4,0)</f>
        <v>Rev. Finances</v>
      </c>
      <c r="W394" s="656" t="str">
        <f>+VLOOKUP($L394,Data_Validation!$A:$E,5,0)</f>
        <v>$</v>
      </c>
      <c r="X394" s="656" t="str">
        <f>+VLOOKUP($L394,Data_Validation!$A:$F,6,0)</f>
        <v>Oui</v>
      </c>
    </row>
    <row r="395" spans="1:24" ht="15.75" customHeight="1">
      <c r="A395" s="1329" t="s">
        <v>1297</v>
      </c>
      <c r="B395" s="1329" t="s">
        <v>2763</v>
      </c>
      <c r="C395" s="1331">
        <v>-619.03</v>
      </c>
      <c r="D395" s="1331">
        <v>-874.67</v>
      </c>
      <c r="E395" s="1331">
        <v>-1493.7</v>
      </c>
      <c r="F395" s="1329" t="s">
        <v>1285</v>
      </c>
      <c r="G395" s="1329" t="s">
        <v>1291</v>
      </c>
      <c r="H395" s="1329" t="s">
        <v>3942</v>
      </c>
      <c r="I395" s="967"/>
      <c r="J395" s="967"/>
      <c r="K395" s="967"/>
      <c r="L395" s="653" t="str">
        <f t="shared" si="191"/>
        <v>9165</v>
      </c>
      <c r="M395" s="654" t="str">
        <f t="shared" si="192"/>
        <v>REV. ASSURANCES NEUF</v>
      </c>
      <c r="N395" s="655">
        <f>+IF(OR($Q395=Parametres!$G$2,$Q395=Parametres!$G$3),I395,C395)</f>
        <v>-619.03</v>
      </c>
      <c r="O395" s="655">
        <f>+IF(OR($Q395=Parametres!$G$2,$Q395=Parametres!$G$3),J395,D395)</f>
        <v>-874.67</v>
      </c>
      <c r="P395" s="655">
        <f>+IF(OR($Q395=Parametres!$G$2,$Q395=Parametres!$G$3),K395,E395)</f>
        <v>-1493.7</v>
      </c>
      <c r="Q395" s="654" t="str">
        <f t="shared" si="193"/>
        <v>8-Autres revenus</v>
      </c>
      <c r="R395" s="653" t="str">
        <f t="shared" si="194"/>
        <v>9161</v>
      </c>
      <c r="S395" s="654" t="str">
        <f t="shared" si="195"/>
        <v>_</v>
      </c>
      <c r="T395" s="656" t="str">
        <f>+VLOOKUP($L395,Data_Validation!$A:$D,1,0)</f>
        <v>9165</v>
      </c>
      <c r="U395" s="656" t="str">
        <f>+VLOOKUP($L395,Data_Validation!$A:$D,3,0)</f>
        <v>Véhicules neufs</v>
      </c>
      <c r="V395" s="656" t="str">
        <f>+VLOOKUP($L395,Data_Validation!$A:$D,4,0)</f>
        <v>Rev. Autres</v>
      </c>
      <c r="W395" s="656" t="str">
        <f>+VLOOKUP($L395,Data_Validation!$A:$E,5,0)</f>
        <v>$</v>
      </c>
      <c r="X395" s="656" t="str">
        <f>+VLOOKUP($L395,Data_Validation!$A:$F,6,0)</f>
        <v>Oui</v>
      </c>
    </row>
    <row r="396" spans="1:24" ht="15.75" customHeight="1">
      <c r="A396" s="1329" t="s">
        <v>1298</v>
      </c>
      <c r="B396" s="1329" t="s">
        <v>2766</v>
      </c>
      <c r="C396" s="1331">
        <v>-1112.6500000000001</v>
      </c>
      <c r="D396" s="1331">
        <v>0</v>
      </c>
      <c r="E396" s="1331">
        <v>-1112.6500000000001</v>
      </c>
      <c r="F396" s="1329" t="s">
        <v>1285</v>
      </c>
      <c r="G396" s="1329" t="s">
        <v>1295</v>
      </c>
      <c r="H396" s="1329" t="s">
        <v>3942</v>
      </c>
      <c r="I396" s="967"/>
      <c r="J396" s="967"/>
      <c r="K396" s="967"/>
      <c r="L396" s="653" t="str">
        <f t="shared" si="191"/>
        <v>9167</v>
      </c>
      <c r="M396" s="654" t="str">
        <f t="shared" si="192"/>
        <v>REV ASSURANCE USAGE</v>
      </c>
      <c r="N396" s="655">
        <f>+IF(OR($Q396=Parametres!$G$2,$Q396=Parametres!$G$3),I396,C396)</f>
        <v>-1112.6500000000001</v>
      </c>
      <c r="O396" s="655">
        <f>+IF(OR($Q396=Parametres!$G$2,$Q396=Parametres!$G$3),J396,D396)</f>
        <v>0</v>
      </c>
      <c r="P396" s="655">
        <f>+IF(OR($Q396=Parametres!$G$2,$Q396=Parametres!$G$3),K396,E396)</f>
        <v>-1112.6500000000001</v>
      </c>
      <c r="Q396" s="654" t="str">
        <f t="shared" si="193"/>
        <v>8-Autres revenus</v>
      </c>
      <c r="R396" s="653" t="str">
        <f t="shared" si="194"/>
        <v>9163</v>
      </c>
      <c r="S396" s="654" t="str">
        <f t="shared" si="195"/>
        <v>_</v>
      </c>
      <c r="T396" s="656" t="str">
        <f>+VLOOKUP($L396,Data_Validation!$A:$D,1,0)</f>
        <v>9167</v>
      </c>
      <c r="U396" s="656" t="str">
        <f>+VLOOKUP($L396,Data_Validation!$A:$D,3,0)</f>
        <v>Véhicules usagés</v>
      </c>
      <c r="V396" s="656" t="str">
        <f>+VLOOKUP($L396,Data_Validation!$A:$D,4,0)</f>
        <v>Rev. Autres</v>
      </c>
      <c r="W396" s="656" t="str">
        <f>+VLOOKUP($L396,Data_Validation!$A:$E,5,0)</f>
        <v>$</v>
      </c>
      <c r="X396" s="656" t="str">
        <f>+VLOOKUP($L396,Data_Validation!$A:$F,6,0)</f>
        <v>Oui</v>
      </c>
    </row>
    <row r="397" spans="1:24" ht="15.75" customHeight="1">
      <c r="A397" s="1329" t="s">
        <v>1301</v>
      </c>
      <c r="B397" s="1329" t="s">
        <v>2769</v>
      </c>
      <c r="C397" s="1331">
        <v>-4900</v>
      </c>
      <c r="D397" s="1331">
        <v>-6000</v>
      </c>
      <c r="E397" s="1331">
        <v>-10900</v>
      </c>
      <c r="F397" s="1329" t="s">
        <v>1285</v>
      </c>
      <c r="G397" s="1329" t="s">
        <v>1291</v>
      </c>
      <c r="H397" s="1329" t="s">
        <v>3942</v>
      </c>
      <c r="I397" s="967"/>
      <c r="J397" s="967"/>
      <c r="K397" s="967"/>
      <c r="L397" s="653" t="str">
        <f t="shared" si="191"/>
        <v>9169</v>
      </c>
      <c r="M397" s="654" t="str">
        <f t="shared" si="192"/>
        <v>REV GARANTIE PROLONGEE NEUF</v>
      </c>
      <c r="N397" s="655">
        <f>+IF(OR($Q397=Parametres!$G$2,$Q397=Parametres!$G$3),I397,C397)</f>
        <v>-4900</v>
      </c>
      <c r="O397" s="655">
        <f>+IF(OR($Q397=Parametres!$G$2,$Q397=Parametres!$G$3),J397,D397)</f>
        <v>-6000</v>
      </c>
      <c r="P397" s="655">
        <f>+IF(OR($Q397=Parametres!$G$2,$Q397=Parametres!$G$3),K397,E397)</f>
        <v>-10900</v>
      </c>
      <c r="Q397" s="654" t="str">
        <f t="shared" si="193"/>
        <v>8-Autres revenus</v>
      </c>
      <c r="R397" s="653" t="str">
        <f t="shared" si="194"/>
        <v>9161</v>
      </c>
      <c r="S397" s="654" t="str">
        <f t="shared" si="195"/>
        <v>_</v>
      </c>
      <c r="T397" s="656" t="str">
        <f>+VLOOKUP($L397,Data_Validation!$A:$D,1,0)</f>
        <v>9169</v>
      </c>
      <c r="U397" s="656" t="str">
        <f>+VLOOKUP($L397,Data_Validation!$A:$D,3,0)</f>
        <v>Véhicules neufs</v>
      </c>
      <c r="V397" s="656" t="str">
        <f>+VLOOKUP($L397,Data_Validation!$A:$D,4,0)</f>
        <v>Rev. Protections</v>
      </c>
      <c r="W397" s="656" t="str">
        <f>+VLOOKUP($L397,Data_Validation!$A:$E,5,0)</f>
        <v>$</v>
      </c>
      <c r="X397" s="656" t="str">
        <f>+VLOOKUP($L397,Data_Validation!$A:$F,6,0)</f>
        <v>Oui</v>
      </c>
    </row>
    <row r="398" spans="1:24" ht="15.75" customHeight="1">
      <c r="A398" s="1329" t="s">
        <v>1302</v>
      </c>
      <c r="B398" s="1329" t="s">
        <v>2772</v>
      </c>
      <c r="C398" s="1331">
        <v>-35322.120000000003</v>
      </c>
      <c r="D398" s="1331">
        <v>-30640.13</v>
      </c>
      <c r="E398" s="1331">
        <v>-65962.25</v>
      </c>
      <c r="F398" s="1329" t="s">
        <v>1285</v>
      </c>
      <c r="G398" s="1329" t="s">
        <v>1291</v>
      </c>
      <c r="H398" s="1329" t="s">
        <v>3942</v>
      </c>
      <c r="I398" s="967"/>
      <c r="J398" s="967"/>
      <c r="K398" s="967"/>
      <c r="L398" s="653" t="str">
        <f t="shared" si="191"/>
        <v>9170</v>
      </c>
      <c r="M398" s="654" t="str">
        <f t="shared" si="192"/>
        <v>PROFIT PROTECTIONS - NEUFS</v>
      </c>
      <c r="N398" s="655">
        <f>+IF(OR($Q398=Parametres!$G$2,$Q398=Parametres!$G$3),I398,C398)</f>
        <v>-35322.120000000003</v>
      </c>
      <c r="O398" s="655">
        <f>+IF(OR($Q398=Parametres!$G$2,$Q398=Parametres!$G$3),J398,D398)</f>
        <v>-30640.13</v>
      </c>
      <c r="P398" s="655">
        <f>+IF(OR($Q398=Parametres!$G$2,$Q398=Parametres!$G$3),K398,E398)</f>
        <v>-65962.25</v>
      </c>
      <c r="Q398" s="654" t="str">
        <f t="shared" si="193"/>
        <v>8-Autres revenus</v>
      </c>
      <c r="R398" s="653" t="str">
        <f t="shared" si="194"/>
        <v>9161</v>
      </c>
      <c r="S398" s="654" t="str">
        <f t="shared" si="195"/>
        <v>_</v>
      </c>
      <c r="T398" s="656" t="str">
        <f>+VLOOKUP($L398,Data_Validation!$A:$D,1,0)</f>
        <v>9170</v>
      </c>
      <c r="U398" s="656" t="str">
        <f>+VLOOKUP($L398,Data_Validation!$A:$D,3,0)</f>
        <v>Véhicules neufs</v>
      </c>
      <c r="V398" s="656" t="str">
        <f>+VLOOKUP($L398,Data_Validation!$A:$D,4,0)</f>
        <v>Rev. Protections</v>
      </c>
      <c r="W398" s="656" t="str">
        <f>+VLOOKUP($L398,Data_Validation!$A:$E,5,0)</f>
        <v>$</v>
      </c>
      <c r="X398" s="656" t="str">
        <f>+VLOOKUP($L398,Data_Validation!$A:$F,6,0)</f>
        <v>Oui</v>
      </c>
    </row>
    <row r="399" spans="1:24" ht="15.75" customHeight="1">
      <c r="A399" s="1329" t="s">
        <v>1303</v>
      </c>
      <c r="B399" s="1329" t="s">
        <v>2775</v>
      </c>
      <c r="C399" s="1331">
        <v>-33415</v>
      </c>
      <c r="D399" s="1331">
        <v>-7133</v>
      </c>
      <c r="E399" s="1331">
        <v>-40548</v>
      </c>
      <c r="F399" s="1329" t="s">
        <v>1285</v>
      </c>
      <c r="G399" s="1329" t="s">
        <v>1295</v>
      </c>
      <c r="H399" s="1329" t="s">
        <v>3942</v>
      </c>
      <c r="I399" s="967"/>
      <c r="J399" s="967"/>
      <c r="K399" s="967"/>
      <c r="L399" s="653" t="str">
        <f t="shared" si="191"/>
        <v>9171</v>
      </c>
      <c r="M399" s="654" t="str">
        <f t="shared" si="192"/>
        <v>REV GARANTIE PROLONGEE USAGE</v>
      </c>
      <c r="N399" s="655">
        <f>+IF(OR($Q399=Parametres!$G$2,$Q399=Parametres!$G$3),I399,C399)</f>
        <v>-33415</v>
      </c>
      <c r="O399" s="655">
        <f>+IF(OR($Q399=Parametres!$G$2,$Q399=Parametres!$G$3),J399,D399)</f>
        <v>-7133</v>
      </c>
      <c r="P399" s="655">
        <f>+IF(OR($Q399=Parametres!$G$2,$Q399=Parametres!$G$3),K399,E399)</f>
        <v>-40548</v>
      </c>
      <c r="Q399" s="654" t="str">
        <f t="shared" si="193"/>
        <v>8-Autres revenus</v>
      </c>
      <c r="R399" s="653" t="str">
        <f t="shared" si="194"/>
        <v>9163</v>
      </c>
      <c r="S399" s="654" t="str">
        <f t="shared" si="195"/>
        <v>_</v>
      </c>
      <c r="T399" s="656" t="str">
        <f>+VLOOKUP($L399,Data_Validation!$A:$D,1,0)</f>
        <v>9171</v>
      </c>
      <c r="U399" s="656" t="str">
        <f>+VLOOKUP($L399,Data_Validation!$A:$D,3,0)</f>
        <v>Véhicules usagés</v>
      </c>
      <c r="V399" s="656" t="str">
        <f>+VLOOKUP($L399,Data_Validation!$A:$D,4,0)</f>
        <v>Rev. Protections</v>
      </c>
      <c r="W399" s="656" t="str">
        <f>+VLOOKUP($L399,Data_Validation!$A:$E,5,0)</f>
        <v>$</v>
      </c>
      <c r="X399" s="656" t="str">
        <f>+VLOOKUP($L399,Data_Validation!$A:$F,6,0)</f>
        <v>Oui</v>
      </c>
    </row>
    <row r="400" spans="1:24" ht="15.75" customHeight="1">
      <c r="A400" s="1329" t="s">
        <v>1306</v>
      </c>
      <c r="B400" s="1329" t="s">
        <v>2778</v>
      </c>
      <c r="C400" s="1331">
        <v>-16298.01</v>
      </c>
      <c r="D400" s="1331">
        <v>-8433.69</v>
      </c>
      <c r="E400" s="1331">
        <v>-24731.7</v>
      </c>
      <c r="F400" s="1329" t="s">
        <v>1285</v>
      </c>
      <c r="G400" s="1329" t="s">
        <v>1295</v>
      </c>
      <c r="H400" s="1329" t="s">
        <v>3942</v>
      </c>
      <c r="I400" s="967"/>
      <c r="J400" s="967"/>
      <c r="K400" s="967"/>
      <c r="L400" s="653" t="str">
        <f t="shared" si="191"/>
        <v>9172</v>
      </c>
      <c r="M400" s="654" t="str">
        <f t="shared" si="192"/>
        <v>PROFIT PROTECTIONS - USAGES</v>
      </c>
      <c r="N400" s="655">
        <f>+IF(OR($Q400=Parametres!$G$2,$Q400=Parametres!$G$3),I400,C400)</f>
        <v>-16298.01</v>
      </c>
      <c r="O400" s="655">
        <f>+IF(OR($Q400=Parametres!$G$2,$Q400=Parametres!$G$3),J400,D400)</f>
        <v>-8433.69</v>
      </c>
      <c r="P400" s="655">
        <f>+IF(OR($Q400=Parametres!$G$2,$Q400=Parametres!$G$3),K400,E400)</f>
        <v>-24731.7</v>
      </c>
      <c r="Q400" s="654" t="str">
        <f t="shared" si="193"/>
        <v>8-Autres revenus</v>
      </c>
      <c r="R400" s="653" t="str">
        <f t="shared" si="194"/>
        <v>9163</v>
      </c>
      <c r="S400" s="654" t="str">
        <f t="shared" si="195"/>
        <v>_</v>
      </c>
      <c r="T400" s="656" t="str">
        <f>+VLOOKUP($L400,Data_Validation!$A:$D,1,0)</f>
        <v>9172</v>
      </c>
      <c r="U400" s="656" t="str">
        <f>+VLOOKUP($L400,Data_Validation!$A:$D,3,0)</f>
        <v>Véhicules usagés</v>
      </c>
      <c r="V400" s="656" t="str">
        <f>+VLOOKUP($L400,Data_Validation!$A:$D,4,0)</f>
        <v>Rev. Protections</v>
      </c>
      <c r="W400" s="656" t="str">
        <f>+VLOOKUP($L400,Data_Validation!$A:$E,5,0)</f>
        <v>$</v>
      </c>
      <c r="X400" s="656" t="str">
        <f>+VLOOKUP($L400,Data_Validation!$A:$F,6,0)</f>
        <v>Oui</v>
      </c>
    </row>
    <row r="401" spans="1:24" ht="15.75" customHeight="1">
      <c r="A401" s="1329" t="s">
        <v>1309</v>
      </c>
      <c r="B401" s="1329" t="s">
        <v>2781</v>
      </c>
      <c r="C401" s="1331">
        <v>-21603</v>
      </c>
      <c r="D401" s="1331">
        <v>-21414</v>
      </c>
      <c r="E401" s="1331">
        <v>-43017</v>
      </c>
      <c r="F401" s="1329" t="s">
        <v>1285</v>
      </c>
      <c r="G401" s="1329" t="s">
        <v>1310</v>
      </c>
      <c r="H401" s="1329" t="s">
        <v>3942</v>
      </c>
      <c r="I401" s="1330"/>
      <c r="J401" s="1330"/>
      <c r="K401" s="1330"/>
      <c r="L401" s="653" t="str">
        <f t="shared" si="191"/>
        <v>9173</v>
      </c>
      <c r="M401" s="654" t="str">
        <f t="shared" si="192"/>
        <v>FRAIS ADMIN. VOLKS</v>
      </c>
      <c r="N401" s="655">
        <f>+IF(OR($Q401=Parametres!$G$2,$Q401=Parametres!$G$3),I401,C401)</f>
        <v>-21603</v>
      </c>
      <c r="O401" s="655">
        <f>+IF(OR($Q401=Parametres!$G$2,$Q401=Parametres!$G$3),J401,D401)</f>
        <v>-21414</v>
      </c>
      <c r="P401" s="655">
        <f>+IF(OR($Q401=Parametres!$G$2,$Q401=Parametres!$G$3),K401,E401)</f>
        <v>-43017</v>
      </c>
      <c r="Q401" s="654" t="str">
        <f t="shared" si="193"/>
        <v>8-Autres revenus</v>
      </c>
      <c r="R401" s="653" t="str">
        <f t="shared" si="194"/>
        <v>9191</v>
      </c>
      <c r="S401" s="654" t="str">
        <f t="shared" si="195"/>
        <v>_</v>
      </c>
      <c r="T401" s="656" t="str">
        <f>+VLOOKUP($L401,Data_Validation!$A:$D,1,0)</f>
        <v>9173</v>
      </c>
      <c r="U401" s="656" t="str">
        <f>+VLOOKUP($L401,Data_Validation!$A:$D,3,0)</f>
        <v>Véhicules neufs</v>
      </c>
      <c r="V401" s="656" t="str">
        <f>+VLOOKUP($L401,Data_Validation!$A:$D,4,0)</f>
        <v>Frais administration</v>
      </c>
      <c r="W401" s="656" t="str">
        <f>+VLOOKUP($L401,Data_Validation!$A:$E,5,0)</f>
        <v>$</v>
      </c>
      <c r="X401" s="656">
        <f>+VLOOKUP($L401,Data_Validation!$A:$F,6,0)</f>
        <v>0</v>
      </c>
    </row>
    <row r="402" spans="1:24" ht="15.75" customHeight="1">
      <c r="A402" s="1329" t="s">
        <v>1311</v>
      </c>
      <c r="B402" s="1329" t="s">
        <v>3403</v>
      </c>
      <c r="C402" s="1331">
        <v>-16506</v>
      </c>
      <c r="D402" s="1331">
        <v>-8163</v>
      </c>
      <c r="E402" s="1331">
        <v>-24669</v>
      </c>
      <c r="F402" s="1329" t="s">
        <v>1285</v>
      </c>
      <c r="G402" s="1329" t="s">
        <v>1310</v>
      </c>
      <c r="H402" s="1329" t="s">
        <v>3942</v>
      </c>
      <c r="I402" s="1330"/>
      <c r="J402" s="1330"/>
      <c r="K402" s="1330"/>
      <c r="L402" s="653" t="str">
        <f t="shared" si="191"/>
        <v>9174</v>
      </c>
      <c r="M402" s="654" t="str">
        <f t="shared" si="192"/>
        <v>FRAIS ADMIN. VW USAGE</v>
      </c>
      <c r="N402" s="655">
        <f>+IF(OR($Q402=Parametres!$G$2,$Q402=Parametres!$G$3),I402,C402)</f>
        <v>-16506</v>
      </c>
      <c r="O402" s="655">
        <f>+IF(OR($Q402=Parametres!$G$2,$Q402=Parametres!$G$3),J402,D402)</f>
        <v>-8163</v>
      </c>
      <c r="P402" s="655">
        <f>+IF(OR($Q402=Parametres!$G$2,$Q402=Parametres!$G$3),K402,E402)</f>
        <v>-24669</v>
      </c>
      <c r="Q402" s="654" t="str">
        <f t="shared" si="193"/>
        <v>8-Autres revenus</v>
      </c>
      <c r="R402" s="653" t="str">
        <f t="shared" si="194"/>
        <v>9191</v>
      </c>
      <c r="S402" s="654" t="str">
        <f t="shared" si="195"/>
        <v>_</v>
      </c>
      <c r="T402" s="656" t="str">
        <f>+VLOOKUP($L402,Data_Validation!$A:$D,1,0)</f>
        <v>9174</v>
      </c>
      <c r="U402" s="656" t="str">
        <f>+VLOOKUP($L402,Data_Validation!$A:$D,3,0)</f>
        <v>Véhicules usagés</v>
      </c>
      <c r="V402" s="656" t="str">
        <f>+VLOOKUP($L402,Data_Validation!$A:$D,4,0)</f>
        <v>Frais administration</v>
      </c>
      <c r="W402" s="656" t="str">
        <f>+VLOOKUP($L402,Data_Validation!$A:$E,5,0)</f>
        <v>$</v>
      </c>
      <c r="X402" s="656">
        <f>+VLOOKUP($L402,Data_Validation!$A:$F,6,0)</f>
        <v>0</v>
      </c>
    </row>
    <row r="403" spans="1:24" ht="15.75" customHeight="1">
      <c r="A403" s="1329" t="s">
        <v>1312</v>
      </c>
      <c r="B403" s="1329" t="s">
        <v>1310</v>
      </c>
      <c r="C403" s="1331">
        <v>-9055.9599999999991</v>
      </c>
      <c r="D403" s="1331">
        <v>-24.6</v>
      </c>
      <c r="E403" s="1331">
        <v>-9080.56</v>
      </c>
      <c r="F403" s="1329" t="s">
        <v>1285</v>
      </c>
      <c r="G403" s="1329" t="s">
        <v>1310</v>
      </c>
      <c r="H403" s="1329" t="s">
        <v>3942</v>
      </c>
      <c r="I403" s="1330"/>
      <c r="J403" s="1330"/>
      <c r="K403" s="1330"/>
      <c r="L403" s="653" t="str">
        <f t="shared" si="191"/>
        <v>9191</v>
      </c>
      <c r="M403" s="654" t="str">
        <f t="shared" si="192"/>
        <v>REVENUS DIVERS</v>
      </c>
      <c r="N403" s="655">
        <f>+IF(OR($Q403=Parametres!$G$2,$Q403=Parametres!$G$3),I403,C403)</f>
        <v>-9055.9599999999991</v>
      </c>
      <c r="O403" s="655">
        <f>+IF(OR($Q403=Parametres!$G$2,$Q403=Parametres!$G$3),J403,D403)</f>
        <v>-24.6</v>
      </c>
      <c r="P403" s="655">
        <f>+IF(OR($Q403=Parametres!$G$2,$Q403=Parametres!$G$3),K403,E403)</f>
        <v>-9080.56</v>
      </c>
      <c r="Q403" s="654" t="str">
        <f t="shared" si="193"/>
        <v>8-Autres revenus</v>
      </c>
      <c r="R403" s="653" t="str">
        <f t="shared" si="194"/>
        <v>9191</v>
      </c>
      <c r="S403" s="654" t="str">
        <f t="shared" si="195"/>
        <v>_</v>
      </c>
      <c r="T403" s="656" t="str">
        <f>+VLOOKUP($L403,Data_Validation!$A:$D,1,0)</f>
        <v>9191</v>
      </c>
      <c r="U403" s="656" t="str">
        <f>+VLOOKUP($L403,Data_Validation!$A:$D,3,0)</f>
        <v>TOTAL  DES  REVENUS  ET  DÉPENSES</v>
      </c>
      <c r="V403" s="656" t="str">
        <f>+VLOOKUP($L403,Data_Validation!$A:$D,4,0)</f>
        <v>Revenus autres</v>
      </c>
      <c r="W403" s="656" t="str">
        <f>+VLOOKUP($L403,Data_Validation!$A:$E,5,0)</f>
        <v>$</v>
      </c>
      <c r="X403" s="656">
        <f>+VLOOKUP($L403,Data_Validation!$A:$F,6,0)</f>
        <v>0</v>
      </c>
    </row>
    <row r="404" spans="1:24" ht="15.75" customHeight="1">
      <c r="A404" s="1329" t="s">
        <v>1316</v>
      </c>
      <c r="B404" s="1329" t="s">
        <v>2791</v>
      </c>
      <c r="C404" s="1331">
        <v>0</v>
      </c>
      <c r="D404" s="1331">
        <v>21977.26</v>
      </c>
      <c r="E404" s="1331">
        <v>21977.26</v>
      </c>
      <c r="F404" s="1329" t="s">
        <v>1314</v>
      </c>
      <c r="G404" s="1329" t="s">
        <v>1315</v>
      </c>
      <c r="H404" s="1329" t="s">
        <v>3942</v>
      </c>
      <c r="I404" s="1330"/>
      <c r="J404" s="1330"/>
      <c r="K404" s="1330"/>
      <c r="L404" s="653" t="str">
        <f t="shared" si="191"/>
        <v>9404</v>
      </c>
      <c r="M404" s="654" t="str">
        <f t="shared" si="192"/>
        <v>INTERETS SUR PRET</v>
      </c>
      <c r="N404" s="655">
        <f>+IF(OR($Q404=Parametres!$G$2,$Q404=Parametres!$G$3),I404,C404)</f>
        <v>0</v>
      </c>
      <c r="O404" s="655">
        <f>+IF(OR($Q404=Parametres!$G$2,$Q404=Parametres!$G$3),J404,D404)</f>
        <v>21977.26</v>
      </c>
      <c r="P404" s="655">
        <f>+IF(OR($Q404=Parametres!$G$2,$Q404=Parametres!$G$3),K404,E404)</f>
        <v>21977.26</v>
      </c>
      <c r="Q404" s="654" t="str">
        <f t="shared" si="193"/>
        <v>9-Autres déductions</v>
      </c>
      <c r="R404" s="653" t="str">
        <f t="shared" si="194"/>
        <v>9402</v>
      </c>
      <c r="S404" s="654" t="str">
        <f t="shared" si="195"/>
        <v>_</v>
      </c>
      <c r="T404" s="656" t="str">
        <f>+VLOOKUP($L404,Data_Validation!$A:$D,1,0)</f>
        <v>9404</v>
      </c>
      <c r="U404" s="656" t="str">
        <f>+VLOOKUP($L404,Data_Validation!$A:$D,3,0)</f>
        <v>TOTAL  DES  REVENUS  ET  DÉPENSES</v>
      </c>
      <c r="V404" s="656" t="str">
        <f>+VLOOKUP($L404,Data_Validation!$A:$D,4,0)</f>
        <v>Intérêts sur prêt</v>
      </c>
      <c r="W404" s="656" t="str">
        <f>+VLOOKUP($L404,Data_Validation!$A:$E,5,0)</f>
        <v>$</v>
      </c>
      <c r="X404" s="656">
        <f>+VLOOKUP($L404,Data_Validation!$A:$F,6,0)</f>
        <v>0</v>
      </c>
    </row>
    <row r="405" spans="1:24" ht="15.75" customHeight="1">
      <c r="A405" s="1329" t="s">
        <v>1299</v>
      </c>
      <c r="B405" s="1329" t="s">
        <v>1300</v>
      </c>
      <c r="C405" s="1330"/>
      <c r="D405" s="1330"/>
      <c r="E405" s="1330"/>
      <c r="F405" s="1329" t="s">
        <v>7</v>
      </c>
      <c r="G405" s="1329" t="s">
        <v>1295</v>
      </c>
      <c r="H405" s="1329" t="s">
        <v>3942</v>
      </c>
      <c r="I405" s="1331">
        <v>-2</v>
      </c>
      <c r="J405" s="1331">
        <v>0</v>
      </c>
      <c r="K405" s="1331">
        <v>-2</v>
      </c>
      <c r="L405" s="653" t="str">
        <f t="shared" si="191"/>
        <v>9167@</v>
      </c>
      <c r="M405" s="654" t="str">
        <f t="shared" si="192"/>
        <v>ASSURANCE VIE USAGE</v>
      </c>
      <c r="N405" s="655">
        <f>+IF(OR($Q405=Parametres!$G$2,$Q405=Parametres!$G$3),I405,C405)</f>
        <v>-2</v>
      </c>
      <c r="O405" s="655">
        <f>+IF(OR($Q405=Parametres!$G$2,$Q405=Parametres!$G$3),J405,D405)</f>
        <v>0</v>
      </c>
      <c r="P405" s="655">
        <f>+IF(OR($Q405=Parametres!$G$2,$Q405=Parametres!$G$3),K405,E405)</f>
        <v>-2</v>
      </c>
      <c r="Q405" s="654" t="str">
        <f t="shared" si="193"/>
        <v>10-Compte compteur</v>
      </c>
      <c r="R405" s="653" t="str">
        <f t="shared" si="194"/>
        <v>9163</v>
      </c>
      <c r="S405" s="654" t="str">
        <f t="shared" si="195"/>
        <v>_</v>
      </c>
      <c r="T405" s="656" t="str">
        <f>+VLOOKUP($L405,Data_Validation!$A:$D,1,0)</f>
        <v>9167@</v>
      </c>
      <c r="U405" s="656" t="str">
        <f>+VLOOKUP($L405,Data_Validation!$A:$D,3,0)</f>
        <v>Véhicules usagés</v>
      </c>
      <c r="V405" s="656">
        <f>+VLOOKUP($L405,Data_Validation!$A:$D,4,0)</f>
        <v>0</v>
      </c>
      <c r="W405" s="656" t="str">
        <f>+VLOOKUP($L405,Data_Validation!$A:$E,5,0)</f>
        <v>NB</v>
      </c>
      <c r="X405" s="656">
        <f>+VLOOKUP($L405,Data_Validation!$A:$F,6,0)</f>
        <v>0</v>
      </c>
    </row>
    <row r="406" spans="1:24" ht="15.75" customHeight="1">
      <c r="A406" s="1329" t="s">
        <v>3344</v>
      </c>
      <c r="B406" s="1329" t="s">
        <v>3345</v>
      </c>
      <c r="C406" s="1330"/>
      <c r="D406" s="1330"/>
      <c r="E406" s="1330"/>
      <c r="F406" s="1329" t="s">
        <v>7</v>
      </c>
      <c r="G406" s="1329" t="s">
        <v>1291</v>
      </c>
      <c r="H406" s="1329" t="s">
        <v>3942</v>
      </c>
      <c r="I406" s="1331">
        <v>-4</v>
      </c>
      <c r="J406" s="1331">
        <v>-4</v>
      </c>
      <c r="K406" s="1331">
        <v>-8</v>
      </c>
      <c r="L406" s="653" t="str">
        <f t="shared" si="191"/>
        <v>9169@</v>
      </c>
      <c r="M406" s="654" t="str">
        <f t="shared" si="192"/>
        <v>VENTES PEINTURE</v>
      </c>
      <c r="N406" s="655">
        <f>+IF(OR($Q406=Parametres!$G$2,$Q406=Parametres!$G$3),I406,C406)</f>
        <v>-4</v>
      </c>
      <c r="O406" s="655">
        <f>+IF(OR($Q406=Parametres!$G$2,$Q406=Parametres!$G$3),J406,D406)</f>
        <v>-4</v>
      </c>
      <c r="P406" s="655">
        <f>+IF(OR($Q406=Parametres!$G$2,$Q406=Parametres!$G$3),K406,E406)</f>
        <v>-8</v>
      </c>
      <c r="Q406" s="654" t="str">
        <f t="shared" si="193"/>
        <v>10-Compte compteur</v>
      </c>
      <c r="R406" s="653" t="str">
        <f t="shared" si="194"/>
        <v>9161</v>
      </c>
      <c r="S406" s="654" t="str">
        <f t="shared" si="195"/>
        <v>_</v>
      </c>
      <c r="T406" s="656" t="str">
        <f>+VLOOKUP($L406,Data_Validation!$A:$D,1,0)</f>
        <v>9169@</v>
      </c>
      <c r="U406" s="656">
        <f>+VLOOKUP($L406,Data_Validation!$A:$D,3,0)</f>
        <v>0</v>
      </c>
      <c r="V406" s="656">
        <f>+VLOOKUP($L406,Data_Validation!$A:$D,4,0)</f>
        <v>0</v>
      </c>
      <c r="W406" s="656" t="str">
        <f>+VLOOKUP($L406,Data_Validation!$A:$E,5,0)</f>
        <v>NB</v>
      </c>
      <c r="X406" s="656">
        <f>+VLOOKUP($L406,Data_Validation!$A:$F,6,0)</f>
        <v>0</v>
      </c>
    </row>
    <row r="407" spans="1:24" ht="15.75" customHeight="1">
      <c r="A407" s="1329" t="s">
        <v>1304</v>
      </c>
      <c r="B407" s="1329" t="s">
        <v>1305</v>
      </c>
      <c r="C407" s="1330"/>
      <c r="D407" s="1330"/>
      <c r="E407" s="1330"/>
      <c r="F407" s="1329" t="s">
        <v>7</v>
      </c>
      <c r="G407" s="1329" t="s">
        <v>1295</v>
      </c>
      <c r="H407" s="1329" t="s">
        <v>3942</v>
      </c>
      <c r="I407" s="1331">
        <v>-20</v>
      </c>
      <c r="J407" s="1331">
        <v>-7</v>
      </c>
      <c r="K407" s="1331">
        <v>-27</v>
      </c>
      <c r="L407" s="653" t="str">
        <f t="shared" si="191"/>
        <v>9171@</v>
      </c>
      <c r="M407" s="654" t="str">
        <f t="shared" si="192"/>
        <v>VENTE CHIMIQUE USAGE</v>
      </c>
      <c r="N407" s="655">
        <f>+IF(OR($Q407=Parametres!$G$2,$Q407=Parametres!$G$3),I407,C407)</f>
        <v>-20</v>
      </c>
      <c r="O407" s="655">
        <f>+IF(OR($Q407=Parametres!$G$2,$Q407=Parametres!$G$3),J407,D407)</f>
        <v>-7</v>
      </c>
      <c r="P407" s="655">
        <f>+IF(OR($Q407=Parametres!$G$2,$Q407=Parametres!$G$3),K407,E407)</f>
        <v>-27</v>
      </c>
      <c r="Q407" s="654" t="str">
        <f t="shared" si="193"/>
        <v>10-Compte compteur</v>
      </c>
      <c r="R407" s="653" t="str">
        <f t="shared" si="194"/>
        <v>9163</v>
      </c>
      <c r="S407" s="654" t="str">
        <f t="shared" si="195"/>
        <v>_</v>
      </c>
      <c r="T407" s="656" t="str">
        <f>+VLOOKUP($L407,Data_Validation!$A:$D,1,0)</f>
        <v>9171@</v>
      </c>
      <c r="U407" s="656" t="str">
        <f>+VLOOKUP($L407,Data_Validation!$A:$D,3,0)</f>
        <v>Véhicules usagés</v>
      </c>
      <c r="V407" s="656">
        <f>+VLOOKUP($L407,Data_Validation!$A:$D,4,0)</f>
        <v>0</v>
      </c>
      <c r="W407" s="656" t="str">
        <f>+VLOOKUP($L407,Data_Validation!$A:$E,5,0)</f>
        <v>NB</v>
      </c>
      <c r="X407" s="656">
        <f>+VLOOKUP($L407,Data_Validation!$A:$F,6,0)</f>
        <v>0</v>
      </c>
    </row>
    <row r="408" spans="1:24" ht="15.75" customHeight="1">
      <c r="A408" s="1329" t="s">
        <v>842</v>
      </c>
      <c r="B408" s="1329" t="s">
        <v>843</v>
      </c>
      <c r="C408" s="1330"/>
      <c r="D408" s="1330"/>
      <c r="E408" s="1330"/>
      <c r="F408" s="1329" t="s">
        <v>7</v>
      </c>
      <c r="G408" s="1329" t="s">
        <v>841</v>
      </c>
      <c r="H408" s="1329" t="s">
        <v>3942</v>
      </c>
      <c r="I408" s="1331">
        <v>164</v>
      </c>
      <c r="J408" s="1331">
        <v>15</v>
      </c>
      <c r="K408" s="1331">
        <v>179</v>
      </c>
      <c r="L408" s="653" t="str">
        <f t="shared" si="191"/>
        <v>1402@</v>
      </c>
      <c r="M408" s="654" t="str">
        <f t="shared" si="192"/>
        <v># DE INVENTAIRE VEH.NEUFS VW</v>
      </c>
      <c r="N408" s="655">
        <f>+IF(OR($Q408=Parametres!$G$2,$Q408=Parametres!$G$3),I408,C408)</f>
        <v>164</v>
      </c>
      <c r="O408" s="655">
        <f>+IF(OR($Q408=Parametres!$G$2,$Q408=Parametres!$G$3),J408,D408)</f>
        <v>15</v>
      </c>
      <c r="P408" s="655">
        <f>+IF(OR($Q408=Parametres!$G$2,$Q408=Parametres!$G$3),K408,E408)</f>
        <v>179</v>
      </c>
      <c r="Q408" s="654" t="str">
        <f t="shared" si="193"/>
        <v>10-Compte compteur</v>
      </c>
      <c r="R408" s="653" t="str">
        <f t="shared" si="194"/>
        <v>1402</v>
      </c>
      <c r="S408" s="654" t="str">
        <f t="shared" si="195"/>
        <v>_</v>
      </c>
      <c r="T408" s="656" t="str">
        <f>+VLOOKUP($L408,Data_Validation!$A:$D,1,0)</f>
        <v>1402@</v>
      </c>
      <c r="U408" s="656" t="str">
        <f>+VLOOKUP($L408,Data_Validation!$A:$D,3,0)</f>
        <v>Bilan</v>
      </c>
      <c r="V408" s="656">
        <f>+VLOOKUP($L408,Data_Validation!$A:$D,4,0)</f>
        <v>0</v>
      </c>
      <c r="W408" s="656" t="str">
        <f>+VLOOKUP($L408,Data_Validation!$A:$E,5,0)</f>
        <v>NB</v>
      </c>
      <c r="X408" s="656">
        <f>+VLOOKUP($L408,Data_Validation!$A:$F,6,0)</f>
        <v>0</v>
      </c>
    </row>
    <row r="409" spans="1:24" ht="15.75" customHeight="1">
      <c r="A409" s="1329" t="s">
        <v>849</v>
      </c>
      <c r="B409" s="1329" t="s">
        <v>850</v>
      </c>
      <c r="C409" s="1330"/>
      <c r="D409" s="1330"/>
      <c r="E409" s="1330"/>
      <c r="F409" s="1329" t="s">
        <v>7</v>
      </c>
      <c r="G409" s="1329" t="s">
        <v>848</v>
      </c>
      <c r="H409" s="1329" t="s">
        <v>3942</v>
      </c>
      <c r="I409" s="1331">
        <v>42</v>
      </c>
      <c r="J409" s="1331">
        <v>8</v>
      </c>
      <c r="K409" s="1331">
        <v>50</v>
      </c>
      <c r="L409" s="653" t="str">
        <f t="shared" si="191"/>
        <v>1416@</v>
      </c>
      <c r="M409" s="654" t="str">
        <f t="shared" si="192"/>
        <v># DE INV. VEH. USAGE VW</v>
      </c>
      <c r="N409" s="655">
        <f>+IF(OR($Q409=Parametres!$G$2,$Q409=Parametres!$G$3),I409,C409)</f>
        <v>42</v>
      </c>
      <c r="O409" s="655">
        <f>+IF(OR($Q409=Parametres!$G$2,$Q409=Parametres!$G$3),J409,D409)</f>
        <v>8</v>
      </c>
      <c r="P409" s="655">
        <f>+IF(OR($Q409=Parametres!$G$2,$Q409=Parametres!$G$3),K409,E409)</f>
        <v>50</v>
      </c>
      <c r="Q409" s="654" t="str">
        <f t="shared" si="193"/>
        <v>10-Compte compteur</v>
      </c>
      <c r="R409" s="653" t="str">
        <f t="shared" si="194"/>
        <v>1416</v>
      </c>
      <c r="S409" s="654" t="str">
        <f t="shared" si="195"/>
        <v>_</v>
      </c>
      <c r="T409" s="656" t="str">
        <f>+VLOOKUP($L409,Data_Validation!$A:$D,1,0)</f>
        <v>1416@</v>
      </c>
      <c r="U409" s="656" t="str">
        <f>+VLOOKUP($L409,Data_Validation!$A:$D,3,0)</f>
        <v>Bilan</v>
      </c>
      <c r="V409" s="656">
        <f>+VLOOKUP($L409,Data_Validation!$A:$D,4,0)</f>
        <v>0</v>
      </c>
      <c r="W409" s="656" t="str">
        <f>+VLOOKUP($L409,Data_Validation!$A:$E,5,0)</f>
        <v>NB</v>
      </c>
      <c r="X409" s="656">
        <f>+VLOOKUP($L409,Data_Validation!$A:$F,6,0)</f>
        <v>0</v>
      </c>
    </row>
    <row r="410" spans="1:24" ht="15.75" customHeight="1">
      <c r="A410" s="1329" t="s">
        <v>965</v>
      </c>
      <c r="B410" s="1329" t="s">
        <v>966</v>
      </c>
      <c r="C410" s="1330"/>
      <c r="D410" s="1330"/>
      <c r="E410" s="1330"/>
      <c r="F410" s="1329" t="s">
        <v>7</v>
      </c>
      <c r="G410" s="1329" t="s">
        <v>964</v>
      </c>
      <c r="H410" s="1329" t="s">
        <v>3942</v>
      </c>
      <c r="I410" s="1331">
        <v>-7</v>
      </c>
      <c r="J410" s="1331">
        <v>-7</v>
      </c>
      <c r="K410" s="1331">
        <v>-14</v>
      </c>
      <c r="L410" s="653" t="str">
        <f t="shared" si="191"/>
        <v>4100@</v>
      </c>
      <c r="M410" s="654" t="str">
        <f t="shared" si="192"/>
        <v>RESERVE</v>
      </c>
      <c r="N410" s="655">
        <f>+IF(OR($Q410=Parametres!$G$2,$Q410=Parametres!$G$3),I410,C410)</f>
        <v>-7</v>
      </c>
      <c r="O410" s="655">
        <f>+IF(OR($Q410=Parametres!$G$2,$Q410=Parametres!$G$3),J410,D410)</f>
        <v>-7</v>
      </c>
      <c r="P410" s="655">
        <f>+IF(OR($Q410=Parametres!$G$2,$Q410=Parametres!$G$3),K410,E410)</f>
        <v>-14</v>
      </c>
      <c r="Q410" s="654" t="str">
        <f t="shared" si="193"/>
        <v>10-Compte compteur</v>
      </c>
      <c r="R410" s="653" t="str">
        <f t="shared" si="194"/>
        <v>4100</v>
      </c>
      <c r="S410" s="654" t="str">
        <f t="shared" si="195"/>
        <v>_</v>
      </c>
      <c r="T410" s="656" t="str">
        <f>+VLOOKUP($L410,Data_Validation!$A:$D,1,0)</f>
        <v>4100@</v>
      </c>
      <c r="U410" s="656" t="str">
        <f>+VLOOKUP($L410,Data_Validation!$A:$D,3,0)</f>
        <v>Véhicules neufs</v>
      </c>
      <c r="V410" s="656" t="str">
        <f>+VLOOKUP($L410,Data_Validation!$A:$D,4,0)</f>
        <v>Rachat bail</v>
      </c>
      <c r="W410" s="656" t="str">
        <f>+VLOOKUP($L410,Data_Validation!$A:$E,5,0)</f>
        <v>NB</v>
      </c>
      <c r="X410" s="656">
        <f>+VLOOKUP($L410,Data_Validation!$A:$F,6,0)</f>
        <v>0</v>
      </c>
    </row>
    <row r="411" spans="1:24" ht="15.75" customHeight="1">
      <c r="A411" s="1329" t="s">
        <v>969</v>
      </c>
      <c r="B411" s="1329" t="s">
        <v>970</v>
      </c>
      <c r="C411" s="1330"/>
      <c r="D411" s="1330"/>
      <c r="E411" s="1330"/>
      <c r="F411" s="1329" t="s">
        <v>7</v>
      </c>
      <c r="G411" s="1329" t="s">
        <v>968</v>
      </c>
      <c r="H411" s="1329" t="s">
        <v>3942</v>
      </c>
      <c r="I411" s="1331">
        <v>0</v>
      </c>
      <c r="J411" s="1331">
        <v>-1</v>
      </c>
      <c r="K411" s="1331">
        <v>-1</v>
      </c>
      <c r="L411" s="653" t="str">
        <f t="shared" si="191"/>
        <v>4109@</v>
      </c>
      <c r="M411" s="654" t="str">
        <f t="shared" si="192"/>
        <v># DE VENTE - GOLF R</v>
      </c>
      <c r="N411" s="655">
        <f>+IF(OR($Q411=Parametres!$G$2,$Q411=Parametres!$G$3),I411,C411)</f>
        <v>0</v>
      </c>
      <c r="O411" s="655">
        <f>+IF(OR($Q411=Parametres!$G$2,$Q411=Parametres!$G$3),J411,D411)</f>
        <v>-1</v>
      </c>
      <c r="P411" s="655">
        <f>+IF(OR($Q411=Parametres!$G$2,$Q411=Parametres!$G$3),K411,E411)</f>
        <v>-1</v>
      </c>
      <c r="Q411" s="654" t="str">
        <f t="shared" si="193"/>
        <v>10-Compte compteur</v>
      </c>
      <c r="R411" s="653" t="str">
        <f t="shared" si="194"/>
        <v>4109</v>
      </c>
      <c r="S411" s="654" t="str">
        <f t="shared" si="195"/>
        <v>_</v>
      </c>
      <c r="T411" s="656" t="str">
        <f>+VLOOKUP($L411,Data_Validation!$A:$D,1,0)</f>
        <v>4109@</v>
      </c>
      <c r="U411" s="656" t="str">
        <f>+VLOOKUP($L411,Data_Validation!$A:$D,3,0)</f>
        <v>Véhicules neufs</v>
      </c>
      <c r="V411" s="656" t="str">
        <f>+VLOOKUP($L411,Data_Validation!$A:$D,4,0)</f>
        <v>Autos détail</v>
      </c>
      <c r="W411" s="656" t="str">
        <f>+VLOOKUP($L411,Data_Validation!$A:$E,5,0)</f>
        <v>NB</v>
      </c>
      <c r="X411" s="656">
        <f>+VLOOKUP($L411,Data_Validation!$A:$F,6,0)</f>
        <v>0</v>
      </c>
    </row>
    <row r="412" spans="1:24" ht="15.75" customHeight="1">
      <c r="A412" s="1329" t="s">
        <v>971</v>
      </c>
      <c r="B412" s="1329" t="s">
        <v>973</v>
      </c>
      <c r="C412" s="1330"/>
      <c r="D412" s="1330"/>
      <c r="E412" s="1330"/>
      <c r="F412" s="1329" t="s">
        <v>7</v>
      </c>
      <c r="G412" s="1329" t="s">
        <v>972</v>
      </c>
      <c r="H412" s="1329" t="s">
        <v>3942</v>
      </c>
      <c r="I412" s="1331">
        <v>-4</v>
      </c>
      <c r="J412" s="1331">
        <v>-4</v>
      </c>
      <c r="K412" s="1331">
        <v>-8</v>
      </c>
      <c r="L412" s="653" t="str">
        <f t="shared" si="191"/>
        <v>4111@</v>
      </c>
      <c r="M412" s="654" t="str">
        <f t="shared" si="192"/>
        <v>JETTA/ JETTA GLI</v>
      </c>
      <c r="N412" s="655">
        <f>+IF(OR($Q412=Parametres!$G$2,$Q412=Parametres!$G$3),I412,C412)</f>
        <v>-4</v>
      </c>
      <c r="O412" s="655">
        <f>+IF(OR($Q412=Parametres!$G$2,$Q412=Parametres!$G$3),J412,D412)</f>
        <v>-4</v>
      </c>
      <c r="P412" s="655">
        <f>+IF(OR($Q412=Parametres!$G$2,$Q412=Parametres!$G$3),K412,E412)</f>
        <v>-8</v>
      </c>
      <c r="Q412" s="654" t="str">
        <f t="shared" si="193"/>
        <v>10-Compte compteur</v>
      </c>
      <c r="R412" s="653" t="str">
        <f t="shared" si="194"/>
        <v>4111</v>
      </c>
      <c r="S412" s="654" t="str">
        <f t="shared" si="195"/>
        <v>_</v>
      </c>
      <c r="T412" s="656" t="str">
        <f>+VLOOKUP($L412,Data_Validation!$A:$D,1,0)</f>
        <v>4111@</v>
      </c>
      <c r="U412" s="656" t="str">
        <f>+VLOOKUP($L412,Data_Validation!$A:$D,3,0)</f>
        <v>Véhicules neufs</v>
      </c>
      <c r="V412" s="656" t="str">
        <f>+VLOOKUP($L412,Data_Validation!$A:$D,4,0)</f>
        <v>Autos détail</v>
      </c>
      <c r="W412" s="656" t="str">
        <f>+VLOOKUP($L412,Data_Validation!$A:$E,5,0)</f>
        <v>NB</v>
      </c>
      <c r="X412" s="656">
        <f>+VLOOKUP($L412,Data_Validation!$A:$F,6,0)</f>
        <v>0</v>
      </c>
    </row>
    <row r="413" spans="1:24" ht="15.75" customHeight="1">
      <c r="A413" s="1329" t="s">
        <v>976</v>
      </c>
      <c r="B413" s="1329" t="s">
        <v>977</v>
      </c>
      <c r="C413" s="1330"/>
      <c r="D413" s="1330"/>
      <c r="E413" s="1330"/>
      <c r="F413" s="1329" t="s">
        <v>7</v>
      </c>
      <c r="G413" s="1329" t="s">
        <v>978</v>
      </c>
      <c r="H413" s="1329" t="s">
        <v>3942</v>
      </c>
      <c r="I413" s="1331">
        <v>-12</v>
      </c>
      <c r="J413" s="1331">
        <v>-13</v>
      </c>
      <c r="K413" s="1331">
        <v>-25</v>
      </c>
      <c r="L413" s="653" t="str">
        <f t="shared" si="191"/>
        <v>4118@</v>
      </c>
      <c r="M413" s="654" t="str">
        <f t="shared" si="192"/>
        <v>TAOS</v>
      </c>
      <c r="N413" s="655">
        <f>+IF(OR($Q413=Parametres!$G$2,$Q413=Parametres!$G$3),I413,C413)</f>
        <v>-12</v>
      </c>
      <c r="O413" s="655">
        <f>+IF(OR($Q413=Parametres!$G$2,$Q413=Parametres!$G$3),J413,D413)</f>
        <v>-13</v>
      </c>
      <c r="P413" s="655">
        <f>+IF(OR($Q413=Parametres!$G$2,$Q413=Parametres!$G$3),K413,E413)</f>
        <v>-25</v>
      </c>
      <c r="Q413" s="654" t="str">
        <f t="shared" si="193"/>
        <v>10-Compte compteur</v>
      </c>
      <c r="R413" s="653" t="str">
        <f t="shared" si="194"/>
        <v>411</v>
      </c>
      <c r="S413" s="654" t="str">
        <f t="shared" si="195"/>
        <v>_</v>
      </c>
      <c r="T413" s="656" t="str">
        <f>+VLOOKUP($L413,Data_Validation!$A:$D,1,0)</f>
        <v>4118@</v>
      </c>
      <c r="U413" s="656" t="str">
        <f>+VLOOKUP($L413,Data_Validation!$A:$D,3,0)</f>
        <v>Véhicules neufs</v>
      </c>
      <c r="V413" s="656" t="str">
        <f>+VLOOKUP($L413,Data_Validation!$A:$D,4,0)</f>
        <v>Camions détail</v>
      </c>
      <c r="W413" s="656" t="str">
        <f>+VLOOKUP($L413,Data_Validation!$A:$E,5,0)</f>
        <v>NB</v>
      </c>
      <c r="X413" s="656">
        <f>+VLOOKUP($L413,Data_Validation!$A:$F,6,0)</f>
        <v>0</v>
      </c>
    </row>
    <row r="414" spans="1:24" ht="15.75" customHeight="1">
      <c r="A414" s="1329" t="s">
        <v>981</v>
      </c>
      <c r="B414" s="1329" t="s">
        <v>982</v>
      </c>
      <c r="C414" s="1330"/>
      <c r="D414" s="1330"/>
      <c r="E414" s="1330"/>
      <c r="F414" s="1329" t="s">
        <v>7</v>
      </c>
      <c r="G414" s="1329" t="s">
        <v>980</v>
      </c>
      <c r="H414" s="1329" t="s">
        <v>3942</v>
      </c>
      <c r="I414" s="1331">
        <v>-1</v>
      </c>
      <c r="J414" s="1331">
        <v>-4</v>
      </c>
      <c r="K414" s="1331">
        <v>-5</v>
      </c>
      <c r="L414" s="653" t="str">
        <f t="shared" si="191"/>
        <v>4119@</v>
      </c>
      <c r="M414" s="654" t="str">
        <f t="shared" si="192"/>
        <v># DE VTE - ATLAS</v>
      </c>
      <c r="N414" s="655">
        <f>+IF(OR($Q414=Parametres!$G$2,$Q414=Parametres!$G$3),I414,C414)</f>
        <v>-1</v>
      </c>
      <c r="O414" s="655">
        <f>+IF(OR($Q414=Parametres!$G$2,$Q414=Parametres!$G$3),J414,D414)</f>
        <v>-4</v>
      </c>
      <c r="P414" s="655">
        <f>+IF(OR($Q414=Parametres!$G$2,$Q414=Parametres!$G$3),K414,E414)</f>
        <v>-5</v>
      </c>
      <c r="Q414" s="654" t="str">
        <f t="shared" si="193"/>
        <v>10-Compte compteur</v>
      </c>
      <c r="R414" s="653" t="str">
        <f t="shared" si="194"/>
        <v>4119</v>
      </c>
      <c r="S414" s="654" t="str">
        <f t="shared" si="195"/>
        <v>_</v>
      </c>
      <c r="T414" s="656" t="str">
        <f>+VLOOKUP($L414,Data_Validation!$A:$D,1,0)</f>
        <v>4119@</v>
      </c>
      <c r="U414" s="656" t="str">
        <f>+VLOOKUP($L414,Data_Validation!$A:$D,3,0)</f>
        <v>Véhicules neufs</v>
      </c>
      <c r="V414" s="656" t="str">
        <f>+VLOOKUP($L414,Data_Validation!$A:$D,4,0)</f>
        <v>Camions détail</v>
      </c>
      <c r="W414" s="656" t="str">
        <f>+VLOOKUP($L414,Data_Validation!$A:$E,5,0)</f>
        <v>NB</v>
      </c>
      <c r="X414" s="656">
        <f>+VLOOKUP($L414,Data_Validation!$A:$F,6,0)</f>
        <v>0</v>
      </c>
    </row>
    <row r="415" spans="1:24" ht="15.75" customHeight="1">
      <c r="A415" s="1329" t="s">
        <v>984</v>
      </c>
      <c r="B415" s="1329" t="s">
        <v>985</v>
      </c>
      <c r="C415" s="1330"/>
      <c r="D415" s="1330"/>
      <c r="E415" s="1330"/>
      <c r="F415" s="1329" t="s">
        <v>7</v>
      </c>
      <c r="G415" s="1329" t="s">
        <v>3348</v>
      </c>
      <c r="H415" s="1329" t="s">
        <v>3942</v>
      </c>
      <c r="I415" s="1331">
        <v>0</v>
      </c>
      <c r="J415" s="1331">
        <v>-2</v>
      </c>
      <c r="K415" s="1331">
        <v>-2</v>
      </c>
      <c r="L415" s="653" t="str">
        <f t="shared" si="191"/>
        <v>4121@</v>
      </c>
      <c r="M415" s="654" t="str">
        <f t="shared" si="192"/>
        <v># DE VTE - ATLAS CROSS SPORT</v>
      </c>
      <c r="N415" s="655">
        <f>+IF(OR($Q415=Parametres!$G$2,$Q415=Parametres!$G$3),I415,C415)</f>
        <v>0</v>
      </c>
      <c r="O415" s="655">
        <f>+IF(OR($Q415=Parametres!$G$2,$Q415=Parametres!$G$3),J415,D415)</f>
        <v>-2</v>
      </c>
      <c r="P415" s="655">
        <f>+IF(OR($Q415=Parametres!$G$2,$Q415=Parametres!$G$3),K415,E415)</f>
        <v>-2</v>
      </c>
      <c r="Q415" s="654" t="str">
        <f t="shared" si="193"/>
        <v>10-Compte compteur</v>
      </c>
      <c r="R415" s="653" t="str">
        <f t="shared" si="194"/>
        <v>4121</v>
      </c>
      <c r="S415" s="654" t="str">
        <f t="shared" si="195"/>
        <v>_</v>
      </c>
      <c r="T415" s="656" t="str">
        <f>+VLOOKUP($L415,Data_Validation!$A:$D,1,0)</f>
        <v>4121@</v>
      </c>
      <c r="U415" s="656" t="str">
        <f>+VLOOKUP($L415,Data_Validation!$A:$D,3,0)</f>
        <v>Véhicules neufs</v>
      </c>
      <c r="V415" s="656" t="str">
        <f>+VLOOKUP($L415,Data_Validation!$A:$D,4,0)</f>
        <v>Camions détail</v>
      </c>
      <c r="W415" s="656" t="str">
        <f>+VLOOKUP($L415,Data_Validation!$A:$E,5,0)</f>
        <v>NB</v>
      </c>
      <c r="X415" s="656">
        <f>+VLOOKUP($L415,Data_Validation!$A:$F,6,0)</f>
        <v>0</v>
      </c>
    </row>
    <row r="416" spans="1:24" ht="15.75" customHeight="1">
      <c r="A416" s="1329" t="s">
        <v>988</v>
      </c>
      <c r="B416" s="1329" t="s">
        <v>989</v>
      </c>
      <c r="C416" s="1330"/>
      <c r="D416" s="1330"/>
      <c r="E416" s="1330"/>
      <c r="F416" s="1329" t="s">
        <v>7</v>
      </c>
      <c r="G416" s="1329" t="s">
        <v>987</v>
      </c>
      <c r="H416" s="1329" t="s">
        <v>3942</v>
      </c>
      <c r="I416" s="1331">
        <v>-3</v>
      </c>
      <c r="J416" s="1331">
        <v>0</v>
      </c>
      <c r="K416" s="1331">
        <v>-3</v>
      </c>
      <c r="L416" s="653" t="str">
        <f t="shared" si="191"/>
        <v>4127@</v>
      </c>
      <c r="M416" s="654" t="str">
        <f t="shared" si="192"/>
        <v># DE VENTE - GOLF GTI</v>
      </c>
      <c r="N416" s="655">
        <f>+IF(OR($Q416=Parametres!$G$2,$Q416=Parametres!$G$3),I416,C416)</f>
        <v>-3</v>
      </c>
      <c r="O416" s="655">
        <f>+IF(OR($Q416=Parametres!$G$2,$Q416=Parametres!$G$3),J416,D416)</f>
        <v>0</v>
      </c>
      <c r="P416" s="655">
        <f>+IF(OR($Q416=Parametres!$G$2,$Q416=Parametres!$G$3),K416,E416)</f>
        <v>-3</v>
      </c>
      <c r="Q416" s="654" t="str">
        <f t="shared" si="193"/>
        <v>10-Compte compteur</v>
      </c>
      <c r="R416" s="653" t="str">
        <f t="shared" si="194"/>
        <v>4127</v>
      </c>
      <c r="S416" s="654" t="str">
        <f t="shared" si="195"/>
        <v>_</v>
      </c>
      <c r="T416" s="656" t="str">
        <f>+VLOOKUP($L416,Data_Validation!$A:$D,1,0)</f>
        <v>4127@</v>
      </c>
      <c r="U416" s="656" t="str">
        <f>+VLOOKUP($L416,Data_Validation!$A:$D,3,0)</f>
        <v>Véhicules neufs</v>
      </c>
      <c r="V416" s="656" t="str">
        <f>+VLOOKUP($L416,Data_Validation!$A:$D,4,0)</f>
        <v>Autos détail</v>
      </c>
      <c r="W416" s="656" t="str">
        <f>+VLOOKUP($L416,Data_Validation!$A:$E,5,0)</f>
        <v>NB</v>
      </c>
      <c r="X416" s="656">
        <f>+VLOOKUP($L416,Data_Validation!$A:$F,6,0)</f>
        <v>0</v>
      </c>
    </row>
    <row r="417" spans="1:24" ht="15.75" customHeight="1">
      <c r="A417" s="1329" t="s">
        <v>992</v>
      </c>
      <c r="B417" s="1329" t="s">
        <v>993</v>
      </c>
      <c r="C417" s="1330"/>
      <c r="D417" s="1330"/>
      <c r="E417" s="1330"/>
      <c r="F417" s="1329" t="s">
        <v>7</v>
      </c>
      <c r="G417" s="1329" t="s">
        <v>991</v>
      </c>
      <c r="H417" s="1329" t="s">
        <v>3942</v>
      </c>
      <c r="I417" s="1331">
        <v>-18</v>
      </c>
      <c r="J417" s="1331">
        <v>-17</v>
      </c>
      <c r="K417" s="1331">
        <v>-35</v>
      </c>
      <c r="L417" s="653" t="str">
        <f t="shared" si="191"/>
        <v>4131@</v>
      </c>
      <c r="M417" s="654" t="str">
        <f t="shared" si="192"/>
        <v># DE VTE - TIGUAN LWB</v>
      </c>
      <c r="N417" s="655">
        <f>+IF(OR($Q417=Parametres!$G$2,$Q417=Parametres!$G$3),I417,C417)</f>
        <v>-18</v>
      </c>
      <c r="O417" s="655">
        <f>+IF(OR($Q417=Parametres!$G$2,$Q417=Parametres!$G$3),J417,D417)</f>
        <v>-17</v>
      </c>
      <c r="P417" s="655">
        <f>+IF(OR($Q417=Parametres!$G$2,$Q417=Parametres!$G$3),K417,E417)</f>
        <v>-35</v>
      </c>
      <c r="Q417" s="654" t="str">
        <f t="shared" si="193"/>
        <v>10-Compte compteur</v>
      </c>
      <c r="R417" s="653" t="str">
        <f t="shared" si="194"/>
        <v>4131</v>
      </c>
      <c r="S417" s="654" t="str">
        <f t="shared" si="195"/>
        <v>_</v>
      </c>
      <c r="T417" s="656" t="str">
        <f>+VLOOKUP($L417,Data_Validation!$A:$D,1,0)</f>
        <v>4131@</v>
      </c>
      <c r="U417" s="656" t="str">
        <f>+VLOOKUP($L417,Data_Validation!$A:$D,3,0)</f>
        <v>Véhicules neufs</v>
      </c>
      <c r="V417" s="656" t="str">
        <f>+VLOOKUP($L417,Data_Validation!$A:$D,4,0)</f>
        <v>Camions détail</v>
      </c>
      <c r="W417" s="656" t="str">
        <f>+VLOOKUP($L417,Data_Validation!$A:$E,5,0)</f>
        <v>NB</v>
      </c>
      <c r="X417" s="656">
        <f>+VLOOKUP($L417,Data_Validation!$A:$F,6,0)</f>
        <v>0</v>
      </c>
    </row>
    <row r="418" spans="1:24" ht="15.75" customHeight="1">
      <c r="A418" s="1329" t="s">
        <v>996</v>
      </c>
      <c r="B418" s="1329" t="s">
        <v>997</v>
      </c>
      <c r="C418" s="1330"/>
      <c r="D418" s="1330"/>
      <c r="E418" s="1330"/>
      <c r="F418" s="1329" t="s">
        <v>7</v>
      </c>
      <c r="G418" s="1329" t="s">
        <v>995</v>
      </c>
      <c r="H418" s="1329" t="s">
        <v>3942</v>
      </c>
      <c r="I418" s="1331">
        <v>-4</v>
      </c>
      <c r="J418" s="1331">
        <v>-9</v>
      </c>
      <c r="K418" s="1331">
        <v>-13</v>
      </c>
      <c r="L418" s="653" t="str">
        <f t="shared" si="191"/>
        <v>4137@</v>
      </c>
      <c r="M418" s="654" t="str">
        <f t="shared" si="192"/>
        <v>VW FLOTTE/VENTE ENTR/EMPLOYE/VEH DEMONST</v>
      </c>
      <c r="N418" s="655">
        <f>+IF(OR($Q418=Parametres!$G$2,$Q418=Parametres!$G$3),I418,C418)</f>
        <v>-4</v>
      </c>
      <c r="O418" s="655">
        <f>+IF(OR($Q418=Parametres!$G$2,$Q418=Parametres!$G$3),J418,D418)</f>
        <v>-9</v>
      </c>
      <c r="P418" s="655">
        <f>+IF(OR($Q418=Parametres!$G$2,$Q418=Parametres!$G$3),K418,E418)</f>
        <v>-13</v>
      </c>
      <c r="Q418" s="654" t="str">
        <f t="shared" si="193"/>
        <v>10-Compte compteur</v>
      </c>
      <c r="R418" s="653" t="str">
        <f t="shared" si="194"/>
        <v>4137</v>
      </c>
      <c r="S418" s="654" t="str">
        <f t="shared" si="195"/>
        <v>_</v>
      </c>
      <c r="T418" s="656" t="str">
        <f>+VLOOKUP($L418,Data_Validation!$A:$D,1,0)</f>
        <v>4137@</v>
      </c>
      <c r="U418" s="656" t="str">
        <f>+VLOOKUP($L418,Data_Validation!$A:$D,3,0)</f>
        <v>Véhicules neufs</v>
      </c>
      <c r="V418" s="656" t="str">
        <f>+VLOOKUP($L418,Data_Validation!$A:$D,4,0)</f>
        <v>Flottes</v>
      </c>
      <c r="W418" s="656" t="str">
        <f>+VLOOKUP($L418,Data_Validation!$A:$E,5,0)</f>
        <v>NB</v>
      </c>
      <c r="X418" s="656">
        <f>+VLOOKUP($L418,Data_Validation!$A:$F,6,0)</f>
        <v>0</v>
      </c>
    </row>
    <row r="419" spans="1:24" ht="15.75" customHeight="1">
      <c r="A419" s="1329" t="s">
        <v>1000</v>
      </c>
      <c r="B419" s="1329" t="s">
        <v>1001</v>
      </c>
      <c r="C419" s="1330"/>
      <c r="D419" s="1330"/>
      <c r="E419" s="1330"/>
      <c r="F419" s="1329" t="s">
        <v>7</v>
      </c>
      <c r="G419" s="1329" t="s">
        <v>999</v>
      </c>
      <c r="H419" s="1329" t="s">
        <v>3942</v>
      </c>
      <c r="I419" s="1331">
        <v>-1</v>
      </c>
      <c r="J419" s="1331">
        <v>-1</v>
      </c>
      <c r="K419" s="1331">
        <v>-2</v>
      </c>
      <c r="L419" s="653" t="str">
        <f t="shared" si="191"/>
        <v>4139@</v>
      </c>
      <c r="M419" s="654" t="str">
        <f t="shared" si="192"/>
        <v>VENTES A PARK AVENUE LOCATION</v>
      </c>
      <c r="N419" s="655">
        <f>+IF(OR($Q419=Parametres!$G$2,$Q419=Parametres!$G$3),I419,C419)</f>
        <v>-1</v>
      </c>
      <c r="O419" s="655">
        <f>+IF(OR($Q419=Parametres!$G$2,$Q419=Parametres!$G$3),J419,D419)</f>
        <v>-1</v>
      </c>
      <c r="P419" s="655">
        <f>+IF(OR($Q419=Parametres!$G$2,$Q419=Parametres!$G$3),K419,E419)</f>
        <v>-2</v>
      </c>
      <c r="Q419" s="654" t="str">
        <f t="shared" si="193"/>
        <v>10-Compte compteur</v>
      </c>
      <c r="R419" s="653" t="str">
        <f t="shared" si="194"/>
        <v>4139</v>
      </c>
      <c r="S419" s="654" t="str">
        <f t="shared" si="195"/>
        <v>_</v>
      </c>
      <c r="T419" s="656" t="str">
        <f>+VLOOKUP($L419,Data_Validation!$A:$D,1,0)</f>
        <v>4139@</v>
      </c>
      <c r="U419" s="656" t="str">
        <f>+VLOOKUP($L419,Data_Validation!$A:$D,3,0)</f>
        <v>Véhicules neufs</v>
      </c>
      <c r="V419" s="656" t="str">
        <f>+VLOOKUP($L419,Data_Validation!$A:$D,4,0)</f>
        <v>Ex-Démos et courtoisies</v>
      </c>
      <c r="W419" s="656" t="str">
        <f>+VLOOKUP($L419,Data_Validation!$A:$E,5,0)</f>
        <v>NB</v>
      </c>
      <c r="X419" s="656">
        <f>+VLOOKUP($L419,Data_Validation!$A:$F,6,0)</f>
        <v>0</v>
      </c>
    </row>
    <row r="420" spans="1:24" ht="15.75" customHeight="1">
      <c r="A420" s="1329" t="s">
        <v>1004</v>
      </c>
      <c r="B420" s="1329" t="s">
        <v>1005</v>
      </c>
      <c r="C420" s="1330"/>
      <c r="D420" s="1330"/>
      <c r="E420" s="1330"/>
      <c r="F420" s="1329" t="s">
        <v>7</v>
      </c>
      <c r="G420" s="1329" t="s">
        <v>1003</v>
      </c>
      <c r="H420" s="1329" t="s">
        <v>3942</v>
      </c>
      <c r="I420" s="1331">
        <v>-2</v>
      </c>
      <c r="J420" s="1331">
        <v>0</v>
      </c>
      <c r="K420" s="1331">
        <v>-2</v>
      </c>
      <c r="L420" s="653" t="str">
        <f t="shared" si="191"/>
        <v>4144@</v>
      </c>
      <c r="M420" s="654" t="str">
        <f t="shared" si="192"/>
        <v># OF VTES -JETTA GLI</v>
      </c>
      <c r="N420" s="655">
        <f>+IF(OR($Q420=Parametres!$G$2,$Q420=Parametres!$G$3),I420,C420)</f>
        <v>-2</v>
      </c>
      <c r="O420" s="655">
        <f>+IF(OR($Q420=Parametres!$G$2,$Q420=Parametres!$G$3),J420,D420)</f>
        <v>0</v>
      </c>
      <c r="P420" s="655">
        <f>+IF(OR($Q420=Parametres!$G$2,$Q420=Parametres!$G$3),K420,E420)</f>
        <v>-2</v>
      </c>
      <c r="Q420" s="654" t="str">
        <f t="shared" si="193"/>
        <v>10-Compte compteur</v>
      </c>
      <c r="R420" s="653" t="str">
        <f t="shared" si="194"/>
        <v>414</v>
      </c>
      <c r="S420" s="654" t="str">
        <f t="shared" si="195"/>
        <v>_</v>
      </c>
      <c r="T420" s="656" t="str">
        <f>+VLOOKUP($L420,Data_Validation!$A:$D,1,0)</f>
        <v>4144@</v>
      </c>
      <c r="U420" s="656" t="str">
        <f>+VLOOKUP($L420,Data_Validation!$A:$D,3,0)</f>
        <v>Véhicules neufs</v>
      </c>
      <c r="V420" s="656" t="str">
        <f>+VLOOKUP($L420,Data_Validation!$A:$D,4,0)</f>
        <v>Autos détail</v>
      </c>
      <c r="W420" s="656" t="str">
        <f>+VLOOKUP($L420,Data_Validation!$A:$E,5,0)</f>
        <v>NB</v>
      </c>
      <c r="X420" s="656">
        <f>+VLOOKUP($L420,Data_Validation!$A:$F,6,0)</f>
        <v>0</v>
      </c>
    </row>
    <row r="421" spans="1:24" ht="15.75" customHeight="1">
      <c r="A421" s="1329" t="s">
        <v>1008</v>
      </c>
      <c r="B421" s="1329" t="s">
        <v>1009</v>
      </c>
      <c r="C421" s="1330"/>
      <c r="D421" s="1330"/>
      <c r="E421" s="1330"/>
      <c r="F421" s="1329" t="s">
        <v>7</v>
      </c>
      <c r="G421" s="1329" t="s">
        <v>1007</v>
      </c>
      <c r="H421" s="1329" t="s">
        <v>3942</v>
      </c>
      <c r="I421" s="1331">
        <v>-34</v>
      </c>
      <c r="J421" s="1331">
        <v>-17</v>
      </c>
      <c r="K421" s="1331">
        <v>-51</v>
      </c>
      <c r="L421" s="653" t="str">
        <f t="shared" si="191"/>
        <v>4201@</v>
      </c>
      <c r="M421" s="654" t="str">
        <f t="shared" si="192"/>
        <v># DE VTE - VEH.USAGE VW DET.CERT.</v>
      </c>
      <c r="N421" s="655">
        <f>+IF(OR($Q421=Parametres!$G$2,$Q421=Parametres!$G$3),I421,C421)</f>
        <v>-34</v>
      </c>
      <c r="O421" s="655">
        <f>+IF(OR($Q421=Parametres!$G$2,$Q421=Parametres!$G$3),J421,D421)</f>
        <v>-17</v>
      </c>
      <c r="P421" s="655">
        <f>+IF(OR($Q421=Parametres!$G$2,$Q421=Parametres!$G$3),K421,E421)</f>
        <v>-51</v>
      </c>
      <c r="Q421" s="654" t="str">
        <f t="shared" si="193"/>
        <v>10-Compte compteur</v>
      </c>
      <c r="R421" s="653" t="str">
        <f t="shared" si="194"/>
        <v>4201</v>
      </c>
      <c r="S421" s="654" t="str">
        <f t="shared" si="195"/>
        <v>_</v>
      </c>
      <c r="T421" s="656" t="str">
        <f>+VLOOKUP($L421,Data_Validation!$A:$D,1,0)</f>
        <v>4201@</v>
      </c>
      <c r="U421" s="656" t="str">
        <f>+VLOOKUP($L421,Data_Validation!$A:$D,3,0)</f>
        <v>Véhicules usagés</v>
      </c>
      <c r="V421" s="656" t="str">
        <f>+VLOOKUP($L421,Data_Validation!$A:$D,4,0)</f>
        <v>Certifié</v>
      </c>
      <c r="W421" s="656" t="str">
        <f>+VLOOKUP($L421,Data_Validation!$A:$E,5,0)</f>
        <v>NB</v>
      </c>
      <c r="X421" s="656">
        <f>+VLOOKUP($L421,Data_Validation!$A:$F,6,0)</f>
        <v>0</v>
      </c>
    </row>
    <row r="422" spans="1:24" ht="15.75" customHeight="1">
      <c r="A422" s="1329" t="s">
        <v>1016</v>
      </c>
      <c r="B422" s="1329" t="s">
        <v>1017</v>
      </c>
      <c r="C422" s="1330"/>
      <c r="D422" s="1330"/>
      <c r="E422" s="1330"/>
      <c r="F422" s="1329" t="s">
        <v>7</v>
      </c>
      <c r="G422" s="1329" t="s">
        <v>1015</v>
      </c>
      <c r="H422" s="1329" t="s">
        <v>3942</v>
      </c>
      <c r="I422" s="1331">
        <v>-1</v>
      </c>
      <c r="J422" s="1331">
        <v>-1</v>
      </c>
      <c r="K422" s="1331">
        <v>-2</v>
      </c>
      <c r="L422" s="653" t="str">
        <f t="shared" si="191"/>
        <v>4285@</v>
      </c>
      <c r="M422" s="654" t="str">
        <f t="shared" si="192"/>
        <v>AUTRE MARQUES DETAIL - USAGE</v>
      </c>
      <c r="N422" s="655">
        <f>+IF(OR($Q422=Parametres!$G$2,$Q422=Parametres!$G$3),I422,C422)</f>
        <v>-1</v>
      </c>
      <c r="O422" s="655">
        <f>+IF(OR($Q422=Parametres!$G$2,$Q422=Parametres!$G$3),J422,D422)</f>
        <v>-1</v>
      </c>
      <c r="P422" s="655">
        <f>+IF(OR($Q422=Parametres!$G$2,$Q422=Parametres!$G$3),K422,E422)</f>
        <v>-2</v>
      </c>
      <c r="Q422" s="654" t="str">
        <f t="shared" si="193"/>
        <v>10-Compte compteur</v>
      </c>
      <c r="R422" s="653" t="str">
        <f t="shared" si="194"/>
        <v>4261</v>
      </c>
      <c r="S422" s="654" t="str">
        <f t="shared" si="195"/>
        <v>_</v>
      </c>
      <c r="T422" s="656" t="str">
        <f>+VLOOKUP($L422,Data_Validation!$A:$D,1,0)</f>
        <v>4285@</v>
      </c>
      <c r="U422" s="656" t="str">
        <f>+VLOOKUP($L422,Data_Validation!$A:$D,3,0)</f>
        <v>Véhicules usagés</v>
      </c>
      <c r="V422" s="656" t="str">
        <f>+VLOOKUP($L422,Data_Validation!$A:$D,4,0)</f>
        <v>Autres Marques</v>
      </c>
      <c r="W422" s="656" t="str">
        <f>+VLOOKUP($L422,Data_Validation!$A:$E,5,0)</f>
        <v>NB</v>
      </c>
      <c r="X422" s="656">
        <f>+VLOOKUP($L422,Data_Validation!$A:$F,6,0)</f>
        <v>0</v>
      </c>
    </row>
    <row r="423" spans="1:24" ht="15.75" customHeight="1">
      <c r="A423" s="1329" t="s">
        <v>1020</v>
      </c>
      <c r="B423" s="1329" t="s">
        <v>1021</v>
      </c>
      <c r="C423" s="1330"/>
      <c r="D423" s="1330"/>
      <c r="E423" s="1330"/>
      <c r="F423" s="1329" t="s">
        <v>7</v>
      </c>
      <c r="G423" s="1329" t="s">
        <v>1019</v>
      </c>
      <c r="H423" s="1329" t="s">
        <v>3942</v>
      </c>
      <c r="I423" s="1331">
        <v>-20</v>
      </c>
      <c r="J423" s="1331">
        <v>-23</v>
      </c>
      <c r="K423" s="1331">
        <v>-43</v>
      </c>
      <c r="L423" s="653" t="str">
        <f t="shared" si="191"/>
        <v>4291@</v>
      </c>
      <c r="M423" s="654" t="str">
        <f t="shared" si="192"/>
        <v>VENTE AU GROS - USAGES</v>
      </c>
      <c r="N423" s="655">
        <f>+IF(OR($Q423=Parametres!$G$2,$Q423=Parametres!$G$3),I423,C423)</f>
        <v>-20</v>
      </c>
      <c r="O423" s="655">
        <f>+IF(OR($Q423=Parametres!$G$2,$Q423=Parametres!$G$3),J423,D423)</f>
        <v>-23</v>
      </c>
      <c r="P423" s="655">
        <f>+IF(OR($Q423=Parametres!$G$2,$Q423=Parametres!$G$3),K423,E423)</f>
        <v>-43</v>
      </c>
      <c r="Q423" s="654" t="str">
        <f t="shared" si="193"/>
        <v>10-Compte compteur</v>
      </c>
      <c r="R423" s="653" t="str">
        <f t="shared" si="194"/>
        <v>4281</v>
      </c>
      <c r="S423" s="654" t="str">
        <f t="shared" si="195"/>
        <v>_</v>
      </c>
      <c r="T423" s="656" t="str">
        <f>+VLOOKUP($L423,Data_Validation!$A:$D,1,0)</f>
        <v>4291@</v>
      </c>
      <c r="U423" s="656" t="str">
        <f>+VLOOKUP($L423,Data_Validation!$A:$D,3,0)</f>
        <v>Véhicules usagés</v>
      </c>
      <c r="V423" s="656" t="str">
        <f>+VLOOKUP($L423,Data_Validation!$A:$D,4,0)</f>
        <v>Ventes au Gros</v>
      </c>
      <c r="W423" s="656" t="str">
        <f>+VLOOKUP($L423,Data_Validation!$A:$E,5,0)</f>
        <v>NB</v>
      </c>
      <c r="X423" s="656">
        <f>+VLOOKUP($L423,Data_Validation!$A:$F,6,0)</f>
        <v>0</v>
      </c>
    </row>
    <row r="424" spans="1:24" ht="15.75" customHeight="1">
      <c r="A424" s="1329" t="s">
        <v>3670</v>
      </c>
      <c r="B424" s="1329" t="s">
        <v>1024</v>
      </c>
      <c r="C424" s="1330"/>
      <c r="D424" s="1330"/>
      <c r="E424" s="1330"/>
      <c r="F424" s="1329" t="s">
        <v>7</v>
      </c>
      <c r="G424" s="1329" t="s">
        <v>1023</v>
      </c>
      <c r="H424" s="1329" t="s">
        <v>3942</v>
      </c>
      <c r="I424" s="1331">
        <v>-311</v>
      </c>
      <c r="J424" s="1331">
        <v>-248</v>
      </c>
      <c r="K424" s="1331">
        <v>-559</v>
      </c>
      <c r="L424" s="653" t="str">
        <f t="shared" si="191"/>
        <v>4401@</v>
      </c>
      <c r="M424" s="654" t="str">
        <f t="shared" si="192"/>
        <v>MAIN-D'OEUVRE - CLIENT VW - MCI</v>
      </c>
      <c r="N424" s="655">
        <f>+IF(OR($Q424=Parametres!$G$2,$Q424=Parametres!$G$3),I424,C424)</f>
        <v>-311</v>
      </c>
      <c r="O424" s="655">
        <f>+IF(OR($Q424=Parametres!$G$2,$Q424=Parametres!$G$3),J424,D424)</f>
        <v>-248</v>
      </c>
      <c r="P424" s="655">
        <f>+IF(OR($Q424=Parametres!$G$2,$Q424=Parametres!$G$3),K424,E424)</f>
        <v>-559</v>
      </c>
      <c r="Q424" s="654" t="str">
        <f t="shared" si="193"/>
        <v>10-Compte compteur</v>
      </c>
      <c r="R424" s="653" t="str">
        <f t="shared" si="194"/>
        <v>4401</v>
      </c>
      <c r="S424" s="654" t="str">
        <f t="shared" si="195"/>
        <v>_</v>
      </c>
      <c r="T424" s="656" t="str">
        <f>+VLOOKUP($L424,Data_Validation!$A:$D,1,0)</f>
        <v>4401@</v>
      </c>
      <c r="U424" s="656" t="str">
        <f>+VLOOKUP($L424,Data_Validation!$A:$D,3,0)</f>
        <v>Service</v>
      </c>
      <c r="V424" s="656" t="str">
        <f>+VLOOKUP($L424,Data_Validation!$A:$D,4,0)</f>
        <v>M/O Client</v>
      </c>
      <c r="W424" s="656" t="str">
        <f>+VLOOKUP($L424,Data_Validation!$A:$E,5,0)</f>
        <v>NB</v>
      </c>
      <c r="X424" s="656">
        <f>+VLOOKUP($L424,Data_Validation!$A:$F,6,0)</f>
        <v>0</v>
      </c>
    </row>
    <row r="425" spans="1:24" ht="15.75" customHeight="1">
      <c r="A425" s="1329" t="s">
        <v>3671</v>
      </c>
      <c r="B425" s="1329" t="s">
        <v>1029</v>
      </c>
      <c r="C425" s="1330"/>
      <c r="D425" s="1330"/>
      <c r="E425" s="1330"/>
      <c r="F425" s="1329" t="s">
        <v>7</v>
      </c>
      <c r="G425" s="1329" t="s">
        <v>1028</v>
      </c>
      <c r="H425" s="1329" t="s">
        <v>3942</v>
      </c>
      <c r="I425" s="1331">
        <v>-202</v>
      </c>
      <c r="J425" s="1331">
        <v>-186</v>
      </c>
      <c r="K425" s="1331">
        <v>-388</v>
      </c>
      <c r="L425" s="653" t="str">
        <f t="shared" si="191"/>
        <v>4403@</v>
      </c>
      <c r="M425" s="654" t="str">
        <f t="shared" si="192"/>
        <v>MAIN-D'OEUVRE - GARANTIE VW - MCI</v>
      </c>
      <c r="N425" s="655">
        <f>+IF(OR($Q425=Parametres!$G$2,$Q425=Parametres!$G$3),I425,C425)</f>
        <v>-202</v>
      </c>
      <c r="O425" s="655">
        <f>+IF(OR($Q425=Parametres!$G$2,$Q425=Parametres!$G$3),J425,D425)</f>
        <v>-186</v>
      </c>
      <c r="P425" s="655">
        <f>+IF(OR($Q425=Parametres!$G$2,$Q425=Parametres!$G$3),K425,E425)</f>
        <v>-388</v>
      </c>
      <c r="Q425" s="654" t="str">
        <f t="shared" si="193"/>
        <v>10-Compte compteur</v>
      </c>
      <c r="R425" s="653" t="str">
        <f t="shared" si="194"/>
        <v>4403</v>
      </c>
      <c r="S425" s="654" t="str">
        <f t="shared" si="195"/>
        <v>_</v>
      </c>
      <c r="T425" s="656" t="str">
        <f>+VLOOKUP($L425,Data_Validation!$A:$D,1,0)</f>
        <v>4403@</v>
      </c>
      <c r="U425" s="656" t="str">
        <f>+VLOOKUP($L425,Data_Validation!$A:$D,3,0)</f>
        <v>Service</v>
      </c>
      <c r="V425" s="656" t="str">
        <f>+VLOOKUP($L425,Data_Validation!$A:$D,4,0)</f>
        <v>M/O Garantie</v>
      </c>
      <c r="W425" s="656" t="str">
        <f>+VLOOKUP($L425,Data_Validation!$A:$E,5,0)</f>
        <v>NB</v>
      </c>
      <c r="X425" s="656">
        <f>+VLOOKUP($L425,Data_Validation!$A:$F,6,0)</f>
        <v>0</v>
      </c>
    </row>
    <row r="426" spans="1:24" ht="15.75" customHeight="1">
      <c r="A426" s="1329" t="s">
        <v>3672</v>
      </c>
      <c r="B426" s="1329" t="s">
        <v>1032</v>
      </c>
      <c r="C426" s="1330"/>
      <c r="D426" s="1330"/>
      <c r="E426" s="1330"/>
      <c r="F426" s="1329" t="s">
        <v>7</v>
      </c>
      <c r="G426" s="1329" t="s">
        <v>1031</v>
      </c>
      <c r="H426" s="1329" t="s">
        <v>3942</v>
      </c>
      <c r="I426" s="1331">
        <v>-206</v>
      </c>
      <c r="J426" s="1331">
        <v>-318</v>
      </c>
      <c r="K426" s="1331">
        <v>-524</v>
      </c>
      <c r="L426" s="653" t="str">
        <f t="shared" si="191"/>
        <v>4405@</v>
      </c>
      <c r="M426" s="654" t="str">
        <f t="shared" si="192"/>
        <v>MAIN-D'OEUVRE - INTERNE VW - MCI</v>
      </c>
      <c r="N426" s="655">
        <f>+IF(OR($Q426=Parametres!$G$2,$Q426=Parametres!$G$3),I426,C426)</f>
        <v>-206</v>
      </c>
      <c r="O426" s="655">
        <f>+IF(OR($Q426=Parametres!$G$2,$Q426=Parametres!$G$3),J426,D426)</f>
        <v>-318</v>
      </c>
      <c r="P426" s="655">
        <f>+IF(OR($Q426=Parametres!$G$2,$Q426=Parametres!$G$3),K426,E426)</f>
        <v>-524</v>
      </c>
      <c r="Q426" s="654" t="str">
        <f t="shared" si="193"/>
        <v>10-Compte compteur</v>
      </c>
      <c r="R426" s="653" t="str">
        <f t="shared" si="194"/>
        <v>4405</v>
      </c>
      <c r="S426" s="654" t="str">
        <f t="shared" si="195"/>
        <v>_</v>
      </c>
      <c r="T426" s="656" t="str">
        <f>+VLOOKUP($L426,Data_Validation!$A:$D,1,0)</f>
        <v>4405@</v>
      </c>
      <c r="U426" s="656" t="str">
        <f>+VLOOKUP($L426,Data_Validation!$A:$D,3,0)</f>
        <v>Service</v>
      </c>
      <c r="V426" s="656" t="str">
        <f>+VLOOKUP($L426,Data_Validation!$A:$D,4,0)</f>
        <v>M/O Interne</v>
      </c>
      <c r="W426" s="656" t="str">
        <f>+VLOOKUP($L426,Data_Validation!$A:$E,5,0)</f>
        <v>NB</v>
      </c>
      <c r="X426" s="656">
        <f>+VLOOKUP($L426,Data_Validation!$A:$F,6,0)</f>
        <v>0</v>
      </c>
    </row>
    <row r="427" spans="1:24" ht="15.75" customHeight="1">
      <c r="A427" s="1329" t="s">
        <v>1033</v>
      </c>
      <c r="B427" s="1329" t="s">
        <v>1035</v>
      </c>
      <c r="C427" s="1330"/>
      <c r="D427" s="1330"/>
      <c r="E427" s="1330"/>
      <c r="F427" s="1329" t="s">
        <v>7</v>
      </c>
      <c r="G427" s="1329" t="s">
        <v>1034</v>
      </c>
      <c r="H427" s="1329" t="s">
        <v>3942</v>
      </c>
      <c r="I427" s="1331">
        <v>-254</v>
      </c>
      <c r="J427" s="1331">
        <v>-300</v>
      </c>
      <c r="K427" s="1331">
        <v>-554</v>
      </c>
      <c r="L427" s="653" t="str">
        <f t="shared" si="191"/>
        <v>4451@</v>
      </c>
      <c r="M427" s="654" t="str">
        <f t="shared" si="192"/>
        <v>CARBURANT/HUILE/GRAISSE</v>
      </c>
      <c r="N427" s="655">
        <f>+IF(OR($Q427=Parametres!$G$2,$Q427=Parametres!$G$3),I427,C427)</f>
        <v>-254</v>
      </c>
      <c r="O427" s="655">
        <f>+IF(OR($Q427=Parametres!$G$2,$Q427=Parametres!$G$3),J427,D427)</f>
        <v>-300</v>
      </c>
      <c r="P427" s="655">
        <f>+IF(OR($Q427=Parametres!$G$2,$Q427=Parametres!$G$3),K427,E427)</f>
        <v>-554</v>
      </c>
      <c r="Q427" s="654" t="str">
        <f t="shared" si="193"/>
        <v>10-Compte compteur</v>
      </c>
      <c r="R427" s="653" t="str">
        <f t="shared" si="194"/>
        <v>4782</v>
      </c>
      <c r="S427" s="654" t="str">
        <f t="shared" si="195"/>
        <v>_</v>
      </c>
      <c r="T427" s="656" t="str">
        <f>+VLOOKUP($L427,Data_Validation!$A:$D,1,0)</f>
        <v>4451@</v>
      </c>
      <c r="U427" s="656" t="str">
        <f>+VLOOKUP($L427,Data_Validation!$A:$D,3,0)</f>
        <v>Pièces</v>
      </c>
      <c r="V427" s="656" t="str">
        <f>+VLOOKUP($L427,Data_Validation!$A:$D,4,0)</f>
        <v>Huiles et Graisse</v>
      </c>
      <c r="W427" s="656" t="str">
        <f>+VLOOKUP($L427,Data_Validation!$A:$E,5,0)</f>
        <v>NB</v>
      </c>
      <c r="X427" s="656">
        <f>+VLOOKUP($L427,Data_Validation!$A:$F,6,0)</f>
        <v>0</v>
      </c>
    </row>
    <row r="428" spans="1:24" ht="15.75" customHeight="1">
      <c r="A428" s="1329" t="s">
        <v>1036</v>
      </c>
      <c r="B428" s="1329" t="s">
        <v>1038</v>
      </c>
      <c r="C428" s="1330"/>
      <c r="D428" s="1330"/>
      <c r="E428" s="1330"/>
      <c r="F428" s="1329" t="s">
        <v>7</v>
      </c>
      <c r="G428" s="1329" t="s">
        <v>1037</v>
      </c>
      <c r="H428" s="1329" t="s">
        <v>3942</v>
      </c>
      <c r="I428" s="1331">
        <v>-85</v>
      </c>
      <c r="J428" s="1331">
        <v>-34</v>
      </c>
      <c r="K428" s="1331">
        <v>-119</v>
      </c>
      <c r="L428" s="653" t="str">
        <f t="shared" si="191"/>
        <v>4491@</v>
      </c>
      <c r="M428" s="654" t="str">
        <f t="shared" si="192"/>
        <v>REPARATION SOUS-LOC. - GENERAL</v>
      </c>
      <c r="N428" s="655">
        <f>+IF(OR($Q428=Parametres!$G$2,$Q428=Parametres!$G$3),I428,C428)</f>
        <v>-85</v>
      </c>
      <c r="O428" s="655">
        <f>+IF(OR($Q428=Parametres!$G$2,$Q428=Parametres!$G$3),J428,D428)</f>
        <v>-34</v>
      </c>
      <c r="P428" s="655">
        <f>+IF(OR($Q428=Parametres!$G$2,$Q428=Parametres!$G$3),K428,E428)</f>
        <v>-119</v>
      </c>
      <c r="Q428" s="654" t="str">
        <f t="shared" si="193"/>
        <v>10-Compte compteur</v>
      </c>
      <c r="R428" s="653" t="str">
        <f t="shared" si="194"/>
        <v>4491</v>
      </c>
      <c r="S428" s="654" t="str">
        <f t="shared" si="195"/>
        <v>_</v>
      </c>
      <c r="T428" s="656" t="str">
        <f>+VLOOKUP($L428,Data_Validation!$A:$D,1,0)</f>
        <v>4491@</v>
      </c>
      <c r="U428" s="656" t="str">
        <f>+VLOOKUP($L428,Data_Validation!$A:$D,3,0)</f>
        <v>Service</v>
      </c>
      <c r="V428" s="656" t="str">
        <f>+VLOOKUP($L428,Data_Validation!$A:$D,4,0)</f>
        <v>Sous-traitement</v>
      </c>
      <c r="W428" s="656" t="str">
        <f>+VLOOKUP($L428,Data_Validation!$A:$E,5,0)</f>
        <v>NB</v>
      </c>
      <c r="X428" s="656">
        <f>+VLOOKUP($L428,Data_Validation!$A:$F,6,0)</f>
        <v>0</v>
      </c>
    </row>
    <row r="429" spans="1:24" ht="15.75" customHeight="1">
      <c r="A429" s="1329" t="s">
        <v>1045</v>
      </c>
      <c r="B429" s="1329" t="s">
        <v>1046</v>
      </c>
      <c r="C429" s="1330"/>
      <c r="D429" s="1330"/>
      <c r="E429" s="1330"/>
      <c r="F429" s="1329" t="s">
        <v>7</v>
      </c>
      <c r="G429" s="1329" t="s">
        <v>1044</v>
      </c>
      <c r="H429" s="1329" t="s">
        <v>3942</v>
      </c>
      <c r="I429" s="1331">
        <v>-43</v>
      </c>
      <c r="J429" s="1331">
        <v>-38</v>
      </c>
      <c r="K429" s="1331">
        <v>-81</v>
      </c>
      <c r="L429" s="653" t="str">
        <f t="shared" si="191"/>
        <v>4495@</v>
      </c>
      <c r="M429" s="654" t="str">
        <f t="shared" si="192"/>
        <v># DE VTE - S-TRAITANCE MEC.INTERNE VW</v>
      </c>
      <c r="N429" s="655">
        <f>+IF(OR($Q429=Parametres!$G$2,$Q429=Parametres!$G$3),I429,C429)</f>
        <v>-43</v>
      </c>
      <c r="O429" s="655">
        <f>+IF(OR($Q429=Parametres!$G$2,$Q429=Parametres!$G$3),J429,D429)</f>
        <v>-38</v>
      </c>
      <c r="P429" s="655">
        <f>+IF(OR($Q429=Parametres!$G$2,$Q429=Parametres!$G$3),K429,E429)</f>
        <v>-81</v>
      </c>
      <c r="Q429" s="654" t="str">
        <f t="shared" si="193"/>
        <v>10-Compte compteur</v>
      </c>
      <c r="R429" s="653" t="str">
        <f t="shared" si="194"/>
        <v>4495</v>
      </c>
      <c r="S429" s="654" t="str">
        <f t="shared" si="195"/>
        <v>_</v>
      </c>
      <c r="T429" s="656" t="str">
        <f>+VLOOKUP($L429,Data_Validation!$A:$D,1,0)</f>
        <v>4495@</v>
      </c>
      <c r="U429" s="656" t="str">
        <f>+VLOOKUP($L429,Data_Validation!$A:$D,3,0)</f>
        <v>Service</v>
      </c>
      <c r="V429" s="656" t="str">
        <f>+VLOOKUP($L429,Data_Validation!$A:$D,4,0)</f>
        <v>Sous-traitement</v>
      </c>
      <c r="W429" s="656" t="str">
        <f>+VLOOKUP($L429,Data_Validation!$A:$E,5,0)</f>
        <v>NB</v>
      </c>
      <c r="X429" s="656">
        <f>+VLOOKUP($L429,Data_Validation!$A:$F,6,0)</f>
        <v>0</v>
      </c>
    </row>
    <row r="430" spans="1:24" ht="15.75" customHeight="1">
      <c r="A430" s="1329" t="s">
        <v>3429</v>
      </c>
      <c r="B430" s="1329" t="s">
        <v>3430</v>
      </c>
      <c r="C430" s="1330"/>
      <c r="D430" s="1330"/>
      <c r="E430" s="1330"/>
      <c r="F430" s="1329" t="s">
        <v>7</v>
      </c>
      <c r="G430" s="1329" t="s">
        <v>3426</v>
      </c>
      <c r="H430" s="1329" t="s">
        <v>3942</v>
      </c>
      <c r="I430" s="1331">
        <v>-26</v>
      </c>
      <c r="J430" s="1331">
        <v>-18</v>
      </c>
      <c r="K430" s="1331">
        <v>-44</v>
      </c>
      <c r="L430" s="653" t="str">
        <f t="shared" si="191"/>
        <v>4505@</v>
      </c>
      <c r="M430" s="654" t="str">
        <f t="shared" si="192"/>
        <v># DE VTE - M.O. INTERNE CARROSSERIE</v>
      </c>
      <c r="N430" s="655">
        <f>+IF(OR($Q430=Parametres!$G$2,$Q430=Parametres!$G$3),I430,C430)</f>
        <v>-26</v>
      </c>
      <c r="O430" s="655">
        <f>+IF(OR($Q430=Parametres!$G$2,$Q430=Parametres!$G$3),J430,D430)</f>
        <v>-18</v>
      </c>
      <c r="P430" s="655">
        <f>+IF(OR($Q430=Parametres!$G$2,$Q430=Parametres!$G$3),K430,E430)</f>
        <v>-44</v>
      </c>
      <c r="Q430" s="654" t="str">
        <f t="shared" si="193"/>
        <v>10-Compte compteur</v>
      </c>
      <c r="R430" s="653" t="str">
        <f t="shared" si="194"/>
        <v>4505</v>
      </c>
      <c r="S430" s="654" t="str">
        <f t="shared" si="195"/>
        <v>_</v>
      </c>
      <c r="T430" s="656" t="str">
        <f>+VLOOKUP($L430,Data_Validation!$A:$D,1,0)</f>
        <v>4505@</v>
      </c>
      <c r="U430" s="656" t="str">
        <f>+VLOOKUP($L430,Data_Validation!$A:$D,3,0)</f>
        <v>Service</v>
      </c>
      <c r="V430" s="656" t="str">
        <f>+VLOOKUP($L430,Data_Validation!$A:$D,4,0)</f>
        <v>M.O. Recond. MCPA</v>
      </c>
      <c r="W430" s="656" t="str">
        <f>+VLOOKUP($L430,Data_Validation!$A:$E,5,0)</f>
        <v>NB</v>
      </c>
      <c r="X430" s="656">
        <f>+VLOOKUP($L430,Data_Validation!$A:$F,6,0)</f>
        <v>0</v>
      </c>
    </row>
    <row r="431" spans="1:24" ht="15.75" customHeight="1">
      <c r="A431" s="1329" t="s">
        <v>1052</v>
      </c>
      <c r="B431" s="1329" t="s">
        <v>1053</v>
      </c>
      <c r="C431" s="1330"/>
      <c r="D431" s="1330"/>
      <c r="E431" s="1330"/>
      <c r="F431" s="1329" t="s">
        <v>7</v>
      </c>
      <c r="G431" s="1329" t="s">
        <v>1051</v>
      </c>
      <c r="H431" s="1329" t="s">
        <v>3942</v>
      </c>
      <c r="I431" s="1331">
        <v>-16</v>
      </c>
      <c r="J431" s="1331">
        <v>-14</v>
      </c>
      <c r="K431" s="1331">
        <v>-30</v>
      </c>
      <c r="L431" s="653" t="str">
        <f t="shared" si="191"/>
        <v>4591@</v>
      </c>
      <c r="M431" s="654" t="str">
        <f t="shared" si="192"/>
        <v>REPARATION SOUS-LOC.-PEINT/DEB</v>
      </c>
      <c r="N431" s="655">
        <f>+IF(OR($Q431=Parametres!$G$2,$Q431=Parametres!$G$3),I431,C431)</f>
        <v>-16</v>
      </c>
      <c r="O431" s="655">
        <f>+IF(OR($Q431=Parametres!$G$2,$Q431=Parametres!$G$3),J431,D431)</f>
        <v>-14</v>
      </c>
      <c r="P431" s="655">
        <f>+IF(OR($Q431=Parametres!$G$2,$Q431=Parametres!$G$3),K431,E431)</f>
        <v>-30</v>
      </c>
      <c r="Q431" s="654" t="str">
        <f t="shared" si="193"/>
        <v>10-Compte compteur</v>
      </c>
      <c r="R431" s="653" t="str">
        <f t="shared" si="194"/>
        <v>4591</v>
      </c>
      <c r="S431" s="654" t="str">
        <f t="shared" si="195"/>
        <v>_</v>
      </c>
      <c r="T431" s="656" t="str">
        <f>+VLOOKUP($L431,Data_Validation!$A:$D,1,0)</f>
        <v>4591@</v>
      </c>
      <c r="U431" s="656" t="str">
        <f>+VLOOKUP($L431,Data_Validation!$A:$D,3,0)</f>
        <v>Carrosserie</v>
      </c>
      <c r="V431" s="656" t="str">
        <f>+VLOOKUP($L431,Data_Validation!$A:$D,4,0)</f>
        <v>M/O Sous-traitement</v>
      </c>
      <c r="W431" s="656" t="str">
        <f>+VLOOKUP($L431,Data_Validation!$A:$E,5,0)</f>
        <v>NB</v>
      </c>
      <c r="X431" s="656">
        <f>+VLOOKUP($L431,Data_Validation!$A:$F,6,0)</f>
        <v>0</v>
      </c>
    </row>
    <row r="432" spans="1:24" ht="15.75" customHeight="1">
      <c r="A432" s="1329" t="s">
        <v>1056</v>
      </c>
      <c r="B432" s="1329" t="s">
        <v>1057</v>
      </c>
      <c r="C432" s="1330"/>
      <c r="D432" s="1330"/>
      <c r="E432" s="1330"/>
      <c r="F432" s="1329" t="s">
        <v>7</v>
      </c>
      <c r="G432" s="1329" t="s">
        <v>1055</v>
      </c>
      <c r="H432" s="1329" t="s">
        <v>3942</v>
      </c>
      <c r="I432" s="1331">
        <v>-25</v>
      </c>
      <c r="J432" s="1331">
        <v>-43</v>
      </c>
      <c r="K432" s="1331">
        <v>-68</v>
      </c>
      <c r="L432" s="653" t="str">
        <f t="shared" si="191"/>
        <v>4593@</v>
      </c>
      <c r="M432" s="654" t="str">
        <f t="shared" si="192"/>
        <v># DE VTE - S-TRAITANCE GAR.CARR.</v>
      </c>
      <c r="N432" s="655">
        <f>+IF(OR($Q432=Parametres!$G$2,$Q432=Parametres!$G$3),I432,C432)</f>
        <v>-25</v>
      </c>
      <c r="O432" s="655">
        <f>+IF(OR($Q432=Parametres!$G$2,$Q432=Parametres!$G$3),J432,D432)</f>
        <v>-43</v>
      </c>
      <c r="P432" s="655">
        <f>+IF(OR($Q432=Parametres!$G$2,$Q432=Parametres!$G$3),K432,E432)</f>
        <v>-68</v>
      </c>
      <c r="Q432" s="654" t="str">
        <f t="shared" si="193"/>
        <v>10-Compte compteur</v>
      </c>
      <c r="R432" s="653" t="str">
        <f t="shared" si="194"/>
        <v>4593</v>
      </c>
      <c r="S432" s="654" t="str">
        <f t="shared" si="195"/>
        <v>_</v>
      </c>
      <c r="T432" s="656" t="str">
        <f>+VLOOKUP($L432,Data_Validation!$A:$D,1,0)</f>
        <v>4593@</v>
      </c>
      <c r="U432" s="656" t="str">
        <f>+VLOOKUP($L432,Data_Validation!$A:$D,3,0)</f>
        <v>Carrosserie</v>
      </c>
      <c r="V432" s="656" t="str">
        <f>+VLOOKUP($L432,Data_Validation!$A:$D,4,0)</f>
        <v>M/O Sous-traitement</v>
      </c>
      <c r="W432" s="656" t="str">
        <f>+VLOOKUP($L432,Data_Validation!$A:$E,5,0)</f>
        <v>NB</v>
      </c>
      <c r="X432" s="656">
        <f>+VLOOKUP($L432,Data_Validation!$A:$F,6,0)</f>
        <v>0</v>
      </c>
    </row>
    <row r="433" spans="1:24" ht="15.75" customHeight="1">
      <c r="A433" s="1329" t="s">
        <v>1060</v>
      </c>
      <c r="B433" s="1329" t="s">
        <v>1061</v>
      </c>
      <c r="C433" s="1330"/>
      <c r="D433" s="1330"/>
      <c r="E433" s="1330"/>
      <c r="F433" s="1329" t="s">
        <v>7</v>
      </c>
      <c r="G433" s="1329" t="s">
        <v>1059</v>
      </c>
      <c r="H433" s="1329" t="s">
        <v>3942</v>
      </c>
      <c r="I433" s="1331">
        <v>-1</v>
      </c>
      <c r="J433" s="1331">
        <v>-1</v>
      </c>
      <c r="K433" s="1331">
        <v>-2</v>
      </c>
      <c r="L433" s="653" t="str">
        <f t="shared" si="191"/>
        <v>4595@</v>
      </c>
      <c r="M433" s="654" t="str">
        <f t="shared" si="192"/>
        <v># DE VTE - S-TRAIT.INTERNE CARR.</v>
      </c>
      <c r="N433" s="655">
        <f>+IF(OR($Q433=Parametres!$G$2,$Q433=Parametres!$G$3),I433,C433)</f>
        <v>-1</v>
      </c>
      <c r="O433" s="655">
        <f>+IF(OR($Q433=Parametres!$G$2,$Q433=Parametres!$G$3),J433,D433)</f>
        <v>-1</v>
      </c>
      <c r="P433" s="655">
        <f>+IF(OR($Q433=Parametres!$G$2,$Q433=Parametres!$G$3),K433,E433)</f>
        <v>-2</v>
      </c>
      <c r="Q433" s="654" t="str">
        <f t="shared" si="193"/>
        <v>10-Compte compteur</v>
      </c>
      <c r="R433" s="653" t="str">
        <f t="shared" si="194"/>
        <v>4595</v>
      </c>
      <c r="S433" s="654" t="str">
        <f t="shared" si="195"/>
        <v>_</v>
      </c>
      <c r="T433" s="656" t="str">
        <f>+VLOOKUP($L433,Data_Validation!$A:$D,1,0)</f>
        <v>4595@</v>
      </c>
      <c r="U433" s="656" t="str">
        <f>+VLOOKUP($L433,Data_Validation!$A:$D,3,0)</f>
        <v>Carrosserie</v>
      </c>
      <c r="V433" s="656" t="str">
        <f>+VLOOKUP($L433,Data_Validation!$A:$D,4,0)</f>
        <v>M/O Sous-traitement</v>
      </c>
      <c r="W433" s="656" t="str">
        <f>+VLOOKUP($L433,Data_Validation!$A:$E,5,0)</f>
        <v>NB</v>
      </c>
      <c r="X433" s="656">
        <f>+VLOOKUP($L433,Data_Validation!$A:$F,6,0)</f>
        <v>0</v>
      </c>
    </row>
    <row r="434" spans="1:24" ht="15.75" customHeight="1">
      <c r="A434" s="1329" t="s">
        <v>3673</v>
      </c>
      <c r="B434" s="1329" t="s">
        <v>1065</v>
      </c>
      <c r="C434" s="1330"/>
      <c r="D434" s="1330"/>
      <c r="E434" s="1330"/>
      <c r="F434" s="1329" t="s">
        <v>7</v>
      </c>
      <c r="G434" s="1329" t="s">
        <v>1063</v>
      </c>
      <c r="H434" s="1329" t="s">
        <v>3942</v>
      </c>
      <c r="I434" s="1331">
        <v>-301</v>
      </c>
      <c r="J434" s="1331">
        <v>-245</v>
      </c>
      <c r="K434" s="1331">
        <v>-546</v>
      </c>
      <c r="L434" s="653" t="str">
        <f t="shared" si="191"/>
        <v>4701@</v>
      </c>
      <c r="M434" s="654" t="str">
        <f t="shared" si="192"/>
        <v>VW P&amp;A - BR - CLIENT - MCI</v>
      </c>
      <c r="N434" s="655">
        <f>+IF(OR($Q434=Parametres!$G$2,$Q434=Parametres!$G$3),I434,C434)</f>
        <v>-301</v>
      </c>
      <c r="O434" s="655">
        <f>+IF(OR($Q434=Parametres!$G$2,$Q434=Parametres!$G$3),J434,D434)</f>
        <v>-245</v>
      </c>
      <c r="P434" s="655">
        <f>+IF(OR($Q434=Parametres!$G$2,$Q434=Parametres!$G$3),K434,E434)</f>
        <v>-546</v>
      </c>
      <c r="Q434" s="654" t="str">
        <f t="shared" si="193"/>
        <v>10-Compte compteur</v>
      </c>
      <c r="R434" s="653" t="str">
        <f t="shared" si="194"/>
        <v>4701</v>
      </c>
      <c r="S434" s="654" t="str">
        <f t="shared" si="195"/>
        <v>_</v>
      </c>
      <c r="T434" s="656" t="str">
        <f>+VLOOKUP($L434,Data_Validation!$A:$D,1,0)</f>
        <v>4701@</v>
      </c>
      <c r="U434" s="656" t="str">
        <f>+VLOOKUP($L434,Data_Validation!$A:$D,3,0)</f>
        <v>Pièces</v>
      </c>
      <c r="V434" s="656" t="str">
        <f>+VLOOKUP($L434,Data_Validation!$A:$D,4,0)</f>
        <v>Pièces Ro Clients</v>
      </c>
      <c r="W434" s="656" t="str">
        <f>+VLOOKUP($L434,Data_Validation!$A:$E,5,0)</f>
        <v>NB</v>
      </c>
      <c r="X434" s="656">
        <f>+VLOOKUP($L434,Data_Validation!$A:$F,6,0)</f>
        <v>0</v>
      </c>
    </row>
    <row r="435" spans="1:24" ht="15.75" customHeight="1">
      <c r="A435" s="1329" t="s">
        <v>3674</v>
      </c>
      <c r="B435" s="1329" t="s">
        <v>1071</v>
      </c>
      <c r="C435" s="1330"/>
      <c r="D435" s="1330"/>
      <c r="E435" s="1330"/>
      <c r="F435" s="1329" t="s">
        <v>7</v>
      </c>
      <c r="G435" s="1329" t="s">
        <v>1069</v>
      </c>
      <c r="H435" s="1329" t="s">
        <v>3942</v>
      </c>
      <c r="I435" s="1331">
        <v>-162</v>
      </c>
      <c r="J435" s="1331">
        <v>-151</v>
      </c>
      <c r="K435" s="1331">
        <v>-313</v>
      </c>
      <c r="L435" s="653" t="str">
        <f t="shared" si="191"/>
        <v>4703@</v>
      </c>
      <c r="M435" s="654" t="str">
        <f t="shared" si="192"/>
        <v>VW P&amp;A - BR - GARANTIE - MCI</v>
      </c>
      <c r="N435" s="655">
        <f>+IF(OR($Q435=Parametres!$G$2,$Q435=Parametres!$G$3),I435,C435)</f>
        <v>-162</v>
      </c>
      <c r="O435" s="655">
        <f>+IF(OR($Q435=Parametres!$G$2,$Q435=Parametres!$G$3),J435,D435)</f>
        <v>-151</v>
      </c>
      <c r="P435" s="655">
        <f>+IF(OR($Q435=Parametres!$G$2,$Q435=Parametres!$G$3),K435,E435)</f>
        <v>-313</v>
      </c>
      <c r="Q435" s="654" t="str">
        <f t="shared" si="193"/>
        <v>10-Compte compteur</v>
      </c>
      <c r="R435" s="653" t="str">
        <f t="shared" si="194"/>
        <v>4703</v>
      </c>
      <c r="S435" s="654" t="str">
        <f t="shared" si="195"/>
        <v>_</v>
      </c>
      <c r="T435" s="656" t="str">
        <f>+VLOOKUP($L435,Data_Validation!$A:$D,1,0)</f>
        <v>4703@</v>
      </c>
      <c r="U435" s="656" t="str">
        <f>+VLOOKUP($L435,Data_Validation!$A:$D,3,0)</f>
        <v>Pièces</v>
      </c>
      <c r="V435" s="656" t="str">
        <f>+VLOOKUP($L435,Data_Validation!$A:$D,4,0)</f>
        <v>P/A Garantie</v>
      </c>
      <c r="W435" s="656" t="str">
        <f>+VLOOKUP($L435,Data_Validation!$A:$E,5,0)</f>
        <v>NB</v>
      </c>
      <c r="X435" s="656">
        <f>+VLOOKUP($L435,Data_Validation!$A:$F,6,0)</f>
        <v>0</v>
      </c>
    </row>
    <row r="436" spans="1:24" ht="15.75" customHeight="1">
      <c r="A436" s="1329" t="s">
        <v>3675</v>
      </c>
      <c r="B436" s="1329" t="s">
        <v>1075</v>
      </c>
      <c r="C436" s="1330"/>
      <c r="D436" s="1330"/>
      <c r="E436" s="1330"/>
      <c r="F436" s="1329" t="s">
        <v>7</v>
      </c>
      <c r="G436" s="1329" t="s">
        <v>1073</v>
      </c>
      <c r="H436" s="1329" t="s">
        <v>3942</v>
      </c>
      <c r="I436" s="1331">
        <v>-230</v>
      </c>
      <c r="J436" s="1331">
        <v>-280</v>
      </c>
      <c r="K436" s="1331">
        <v>-510</v>
      </c>
      <c r="L436" s="653" t="str">
        <f t="shared" si="191"/>
        <v>4705@</v>
      </c>
      <c r="M436" s="654" t="str">
        <f t="shared" si="192"/>
        <v>VW P&amp;A - BR - INTERNE - MCI</v>
      </c>
      <c r="N436" s="655">
        <f>+IF(OR($Q436=Parametres!$G$2,$Q436=Parametres!$G$3),I436,C436)</f>
        <v>-230</v>
      </c>
      <c r="O436" s="655">
        <f>+IF(OR($Q436=Parametres!$G$2,$Q436=Parametres!$G$3),J436,D436)</f>
        <v>-280</v>
      </c>
      <c r="P436" s="655">
        <f>+IF(OR($Q436=Parametres!$G$2,$Q436=Parametres!$G$3),K436,E436)</f>
        <v>-510</v>
      </c>
      <c r="Q436" s="654" t="str">
        <f t="shared" si="193"/>
        <v>10-Compte compteur</v>
      </c>
      <c r="R436" s="653" t="str">
        <f t="shared" si="194"/>
        <v>4705</v>
      </c>
      <c r="S436" s="654" t="str">
        <f t="shared" si="195"/>
        <v>_</v>
      </c>
      <c r="T436" s="656" t="str">
        <f>+VLOOKUP($L436,Data_Validation!$A:$D,1,0)</f>
        <v>4705@</v>
      </c>
      <c r="U436" s="656" t="str">
        <f>+VLOOKUP($L436,Data_Validation!$A:$D,3,0)</f>
        <v>Pièces</v>
      </c>
      <c r="V436" s="656" t="str">
        <f>+VLOOKUP($L436,Data_Validation!$A:$D,4,0)</f>
        <v>Ventes Internes</v>
      </c>
      <c r="W436" s="656" t="str">
        <f>+VLOOKUP($L436,Data_Validation!$A:$E,5,0)</f>
        <v>NB</v>
      </c>
      <c r="X436" s="656">
        <f>+VLOOKUP($L436,Data_Validation!$A:$F,6,0)</f>
        <v>0</v>
      </c>
    </row>
    <row r="437" spans="1:24" ht="15.75" customHeight="1">
      <c r="A437" s="1329" t="s">
        <v>1079</v>
      </c>
      <c r="B437" s="1329" t="s">
        <v>1080</v>
      </c>
      <c r="C437" s="1330"/>
      <c r="D437" s="1330"/>
      <c r="E437" s="1330"/>
      <c r="F437" s="1329" t="s">
        <v>7</v>
      </c>
      <c r="G437" s="1329" t="s">
        <v>1078</v>
      </c>
      <c r="H437" s="1329" t="s">
        <v>3942</v>
      </c>
      <c r="I437" s="1331">
        <v>-175</v>
      </c>
      <c r="J437" s="1331">
        <v>-251</v>
      </c>
      <c r="K437" s="1331">
        <v>-426</v>
      </c>
      <c r="L437" s="653" t="str">
        <f t="shared" si="191"/>
        <v>4711@</v>
      </c>
      <c r="M437" s="654" t="str">
        <f t="shared" si="192"/>
        <v># DE VTE - P&amp;A B.T. CLIENT AUDI</v>
      </c>
      <c r="N437" s="655">
        <f>+IF(OR($Q437=Parametres!$G$2,$Q437=Parametres!$G$3),I437,C437)</f>
        <v>-175</v>
      </c>
      <c r="O437" s="655">
        <f>+IF(OR($Q437=Parametres!$G$2,$Q437=Parametres!$G$3),J437,D437)</f>
        <v>-251</v>
      </c>
      <c r="P437" s="655">
        <f>+IF(OR($Q437=Parametres!$G$2,$Q437=Parametres!$G$3),K437,E437)</f>
        <v>-426</v>
      </c>
      <c r="Q437" s="654" t="str">
        <f t="shared" si="193"/>
        <v>10-Compte compteur</v>
      </c>
      <c r="R437" s="653" t="str">
        <f t="shared" si="194"/>
        <v>84711</v>
      </c>
      <c r="S437" s="654" t="str">
        <f t="shared" si="195"/>
        <v>_</v>
      </c>
      <c r="T437" s="656" t="str">
        <f>+VLOOKUP($L437,Data_Validation!$A:$D,1,0)</f>
        <v>4711@</v>
      </c>
      <c r="U437" s="656" t="str">
        <f>+VLOOKUP($L437,Data_Validation!$A:$D,3,0)</f>
        <v>Pièces</v>
      </c>
      <c r="V437" s="656" t="str">
        <f>+VLOOKUP($L437,Data_Validation!$A:$D,4,0)</f>
        <v>Pièces Ro Clients</v>
      </c>
      <c r="W437" s="656" t="str">
        <f>+VLOOKUP($L437,Data_Validation!$A:$E,5,0)</f>
        <v>NB</v>
      </c>
      <c r="X437" s="656">
        <f>+VLOOKUP($L437,Data_Validation!$A:$F,6,0)</f>
        <v>0</v>
      </c>
    </row>
    <row r="438" spans="1:24" ht="15.75" customHeight="1">
      <c r="A438" s="1329" t="s">
        <v>1087</v>
      </c>
      <c r="B438" s="1329" t="s">
        <v>1088</v>
      </c>
      <c r="C438" s="1330"/>
      <c r="D438" s="1330"/>
      <c r="E438" s="1330"/>
      <c r="F438" s="1329" t="s">
        <v>7</v>
      </c>
      <c r="G438" s="1329" t="s">
        <v>1086</v>
      </c>
      <c r="H438" s="1329" t="s">
        <v>3942</v>
      </c>
      <c r="I438" s="1331">
        <v>-10</v>
      </c>
      <c r="J438" s="1331">
        <v>-4</v>
      </c>
      <c r="K438" s="1331">
        <v>-14</v>
      </c>
      <c r="L438" s="653" t="str">
        <f t="shared" ref="L438:L446" si="196">TEXT(B438,0)</f>
        <v>4731@</v>
      </c>
      <c r="M438" s="654" t="str">
        <f t="shared" ref="M438:M446" si="197">+A438</f>
        <v>PIECES-BON REPAR. PEINT/DEBOS</v>
      </c>
      <c r="N438" s="655">
        <f>+IF(OR($Q438=Parametres!$G$2,$Q438=Parametres!$G$3),I438,C438)</f>
        <v>-10</v>
      </c>
      <c r="O438" s="655">
        <f>+IF(OR($Q438=Parametres!$G$2,$Q438=Parametres!$G$3),J438,D438)</f>
        <v>-4</v>
      </c>
      <c r="P438" s="655">
        <f>+IF(OR($Q438=Parametres!$G$2,$Q438=Parametres!$G$3),K438,E438)</f>
        <v>-14</v>
      </c>
      <c r="Q438" s="654" t="str">
        <f t="shared" ref="Q438:Q446" si="198">+F438</f>
        <v>10-Compte compteur</v>
      </c>
      <c r="R438" s="653" t="str">
        <f t="shared" ref="R438:R446" si="199">+G438</f>
        <v>4731</v>
      </c>
      <c r="S438" s="654" t="str">
        <f t="shared" ref="S438:S446" si="200">+H438</f>
        <v>_</v>
      </c>
      <c r="T438" s="656" t="str">
        <f>+VLOOKUP($L438,Data_Validation!$A:$D,1,0)</f>
        <v>4731@</v>
      </c>
      <c r="U438" s="656" t="str">
        <f>+VLOOKUP($L438,Data_Validation!$A:$D,3,0)</f>
        <v>Pièces</v>
      </c>
      <c r="V438" s="656" t="str">
        <f>+VLOOKUP($L438,Data_Validation!$A:$D,4,0)</f>
        <v>Pièces Ro Carrosserie</v>
      </c>
      <c r="W438" s="656" t="str">
        <f>+VLOOKUP($L438,Data_Validation!$A:$E,5,0)</f>
        <v>NB</v>
      </c>
      <c r="X438" s="656">
        <f>+VLOOKUP($L438,Data_Validation!$A:$F,6,0)</f>
        <v>0</v>
      </c>
    </row>
    <row r="439" spans="1:24" ht="15.75" customHeight="1">
      <c r="A439" s="1329" t="s">
        <v>1091</v>
      </c>
      <c r="B439" s="1329" t="s">
        <v>1092</v>
      </c>
      <c r="C439" s="1330"/>
      <c r="D439" s="1330"/>
      <c r="E439" s="1330"/>
      <c r="F439" s="1329" t="s">
        <v>7</v>
      </c>
      <c r="G439" s="1329" t="s">
        <v>1090</v>
      </c>
      <c r="H439" s="1329" t="s">
        <v>3942</v>
      </c>
      <c r="I439" s="1331">
        <v>-20</v>
      </c>
      <c r="J439" s="1331">
        <v>-42</v>
      </c>
      <c r="K439" s="1331">
        <v>-62</v>
      </c>
      <c r="L439" s="653" t="str">
        <f t="shared" si="196"/>
        <v>4733@</v>
      </c>
      <c r="M439" s="654" t="str">
        <f t="shared" si="197"/>
        <v># DE VTE - P&amp;A B.T. GARANTIE CARR.</v>
      </c>
      <c r="N439" s="655">
        <f>+IF(OR($Q439=Parametres!$G$2,$Q439=Parametres!$G$3),I439,C439)</f>
        <v>-20</v>
      </c>
      <c r="O439" s="655">
        <f>+IF(OR($Q439=Parametres!$G$2,$Q439=Parametres!$G$3),J439,D439)</f>
        <v>-42</v>
      </c>
      <c r="P439" s="655">
        <f>+IF(OR($Q439=Parametres!$G$2,$Q439=Parametres!$G$3),K439,E439)</f>
        <v>-62</v>
      </c>
      <c r="Q439" s="654" t="str">
        <f t="shared" si="198"/>
        <v>10-Compte compteur</v>
      </c>
      <c r="R439" s="653" t="str">
        <f t="shared" si="199"/>
        <v>4733</v>
      </c>
      <c r="S439" s="654" t="str">
        <f t="shared" si="200"/>
        <v>_</v>
      </c>
      <c r="T439" s="656" t="str">
        <f>+VLOOKUP($L439,Data_Validation!$A:$D,1,0)</f>
        <v>4733@</v>
      </c>
      <c r="U439" s="656" t="str">
        <f>+VLOOKUP($L439,Data_Validation!$A:$D,3,0)</f>
        <v>Pièces</v>
      </c>
      <c r="V439" s="656" t="str">
        <f>+VLOOKUP($L439,Data_Validation!$A:$D,4,0)</f>
        <v>Pièces Ro Carrosserie</v>
      </c>
      <c r="W439" s="656" t="str">
        <f>+VLOOKUP($L439,Data_Validation!$A:$E,5,0)</f>
        <v>NB</v>
      </c>
      <c r="X439" s="656">
        <f>+VLOOKUP($L439,Data_Validation!$A:$F,6,0)</f>
        <v>0</v>
      </c>
    </row>
    <row r="440" spans="1:24" ht="15.75" customHeight="1">
      <c r="A440" s="1329" t="s">
        <v>1095</v>
      </c>
      <c r="B440" s="1329" t="s">
        <v>1096</v>
      </c>
      <c r="C440" s="1330"/>
      <c r="D440" s="1330"/>
      <c r="E440" s="1330"/>
      <c r="F440" s="1329" t="s">
        <v>7</v>
      </c>
      <c r="G440" s="1329" t="s">
        <v>1094</v>
      </c>
      <c r="H440" s="1329" t="s">
        <v>3942</v>
      </c>
      <c r="I440" s="1331">
        <v>-9</v>
      </c>
      <c r="J440" s="1331">
        <v>0</v>
      </c>
      <c r="K440" s="1331">
        <v>-9</v>
      </c>
      <c r="L440" s="653" t="str">
        <f t="shared" si="196"/>
        <v>4735@</v>
      </c>
      <c r="M440" s="654" t="str">
        <f t="shared" si="197"/>
        <v># DE VTE - P&amp;A B.T. INTERNE CARROS.</v>
      </c>
      <c r="N440" s="655">
        <f>+IF(OR($Q440=Parametres!$G$2,$Q440=Parametres!$G$3),I440,C440)</f>
        <v>-9</v>
      </c>
      <c r="O440" s="655">
        <f>+IF(OR($Q440=Parametres!$G$2,$Q440=Parametres!$G$3),J440,D440)</f>
        <v>0</v>
      </c>
      <c r="P440" s="655">
        <f>+IF(OR($Q440=Parametres!$G$2,$Q440=Parametres!$G$3),K440,E440)</f>
        <v>-9</v>
      </c>
      <c r="Q440" s="654" t="str">
        <f t="shared" si="198"/>
        <v>10-Compte compteur</v>
      </c>
      <c r="R440" s="653" t="str">
        <f t="shared" si="199"/>
        <v>4735</v>
      </c>
      <c r="S440" s="654" t="str">
        <f t="shared" si="200"/>
        <v>_</v>
      </c>
      <c r="T440" s="656" t="str">
        <f>+VLOOKUP($L440,Data_Validation!$A:$D,1,0)</f>
        <v>4735@</v>
      </c>
      <c r="U440" s="656" t="str">
        <f>+VLOOKUP($L440,Data_Validation!$A:$D,3,0)</f>
        <v>Pièces</v>
      </c>
      <c r="V440" s="656" t="str">
        <f>+VLOOKUP($L440,Data_Validation!$A:$D,4,0)</f>
        <v>Pièces Ro Carrosserie</v>
      </c>
      <c r="W440" s="656" t="str">
        <f>+VLOOKUP($L440,Data_Validation!$A:$E,5,0)</f>
        <v>NB</v>
      </c>
      <c r="X440" s="656">
        <f>+VLOOKUP($L440,Data_Validation!$A:$F,6,0)</f>
        <v>0</v>
      </c>
    </row>
    <row r="441" spans="1:24" ht="15.75" customHeight="1">
      <c r="A441" s="1329" t="s">
        <v>1099</v>
      </c>
      <c r="B441" s="1329" t="s">
        <v>1100</v>
      </c>
      <c r="C441" s="1330"/>
      <c r="D441" s="1330"/>
      <c r="E441" s="1330"/>
      <c r="F441" s="1329" t="s">
        <v>7</v>
      </c>
      <c r="G441" s="1329" t="s">
        <v>1098</v>
      </c>
      <c r="H441" s="1329" t="s">
        <v>3942</v>
      </c>
      <c r="I441" s="1331">
        <v>-138</v>
      </c>
      <c r="J441" s="1331">
        <v>-91</v>
      </c>
      <c r="K441" s="1331">
        <v>-229</v>
      </c>
      <c r="L441" s="653" t="str">
        <f t="shared" si="196"/>
        <v>4761@</v>
      </c>
      <c r="M441" s="654" t="str">
        <f t="shared" si="197"/>
        <v>PIECES-COMPTOIR-DETAIL</v>
      </c>
      <c r="N441" s="655">
        <f>+IF(OR($Q441=Parametres!$G$2,$Q441=Parametres!$G$3),I441,C441)</f>
        <v>-138</v>
      </c>
      <c r="O441" s="655">
        <f>+IF(OR($Q441=Parametres!$G$2,$Q441=Parametres!$G$3),J441,D441)</f>
        <v>-91</v>
      </c>
      <c r="P441" s="655">
        <f>+IF(OR($Q441=Parametres!$G$2,$Q441=Parametres!$G$3),K441,E441)</f>
        <v>-229</v>
      </c>
      <c r="Q441" s="654" t="str">
        <f t="shared" si="198"/>
        <v>10-Compte compteur</v>
      </c>
      <c r="R441" s="653" t="str">
        <f t="shared" si="199"/>
        <v>4761</v>
      </c>
      <c r="S441" s="654" t="str">
        <f t="shared" si="200"/>
        <v>_</v>
      </c>
      <c r="T441" s="656" t="str">
        <f>+VLOOKUP($L441,Data_Validation!$A:$D,1,0)</f>
        <v>4761@</v>
      </c>
      <c r="U441" s="656" t="str">
        <f>+VLOOKUP($L441,Data_Validation!$A:$D,3,0)</f>
        <v>Pièces</v>
      </c>
      <c r="V441" s="656" t="str">
        <f>+VLOOKUP($L441,Data_Validation!$A:$D,4,0)</f>
        <v>Ventes Détails</v>
      </c>
      <c r="W441" s="656" t="str">
        <f>+VLOOKUP($L441,Data_Validation!$A:$E,5,0)</f>
        <v>NB</v>
      </c>
      <c r="X441" s="656">
        <f>+VLOOKUP($L441,Data_Validation!$A:$F,6,0)</f>
        <v>0</v>
      </c>
    </row>
    <row r="442" spans="1:24" ht="15.75" customHeight="1">
      <c r="A442" s="1329" t="s">
        <v>1103</v>
      </c>
      <c r="B442" s="1329" t="s">
        <v>1104</v>
      </c>
      <c r="C442" s="1330"/>
      <c r="D442" s="1330"/>
      <c r="E442" s="1330"/>
      <c r="F442" s="1329" t="s">
        <v>7</v>
      </c>
      <c r="G442" s="1329" t="s">
        <v>1102</v>
      </c>
      <c r="H442" s="1329" t="s">
        <v>3942</v>
      </c>
      <c r="I442" s="1331">
        <v>-462</v>
      </c>
      <c r="J442" s="1331">
        <v>-414</v>
      </c>
      <c r="K442" s="1331">
        <v>-876</v>
      </c>
      <c r="L442" s="653" t="str">
        <f t="shared" si="196"/>
        <v>4763@</v>
      </c>
      <c r="M442" s="654" t="str">
        <f t="shared" si="197"/>
        <v>PIECES-COMPTOIR-COMM. GROS</v>
      </c>
      <c r="N442" s="655">
        <f>+IF(OR($Q442=Parametres!$G$2,$Q442=Parametres!$G$3),I442,C442)</f>
        <v>-462</v>
      </c>
      <c r="O442" s="655">
        <f>+IF(OR($Q442=Parametres!$G$2,$Q442=Parametres!$G$3),J442,D442)</f>
        <v>-414</v>
      </c>
      <c r="P442" s="655">
        <f>+IF(OR($Q442=Parametres!$G$2,$Q442=Parametres!$G$3),K442,E442)</f>
        <v>-876</v>
      </c>
      <c r="Q442" s="654" t="str">
        <f t="shared" si="198"/>
        <v>10-Compte compteur</v>
      </c>
      <c r="R442" s="653" t="str">
        <f t="shared" si="199"/>
        <v>4763</v>
      </c>
      <c r="S442" s="654" t="str">
        <f t="shared" si="200"/>
        <v>_</v>
      </c>
      <c r="T442" s="656" t="str">
        <f>+VLOOKUP($L442,Data_Validation!$A:$D,1,0)</f>
        <v>4763@</v>
      </c>
      <c r="U442" s="656" t="str">
        <f>+VLOOKUP($L442,Data_Validation!$A:$D,3,0)</f>
        <v>Pièces</v>
      </c>
      <c r="V442" s="656" t="str">
        <f>+VLOOKUP($L442,Data_Validation!$A:$D,4,0)</f>
        <v>Ventes de Gros</v>
      </c>
      <c r="W442" s="656" t="str">
        <f>+VLOOKUP($L442,Data_Validation!$A:$E,5,0)</f>
        <v>NB</v>
      </c>
      <c r="X442" s="656">
        <f>+VLOOKUP($L442,Data_Validation!$A:$F,6,0)</f>
        <v>0</v>
      </c>
    </row>
    <row r="443" spans="1:24" ht="15.75" customHeight="1">
      <c r="A443" s="1329" t="s">
        <v>1105</v>
      </c>
      <c r="B443" s="1329" t="s">
        <v>1107</v>
      </c>
      <c r="C443" s="1330"/>
      <c r="D443" s="1330"/>
      <c r="E443" s="1330"/>
      <c r="F443" s="1329" t="s">
        <v>7</v>
      </c>
      <c r="G443" s="1329" t="s">
        <v>1106</v>
      </c>
      <c r="H443" s="1329" t="s">
        <v>3942</v>
      </c>
      <c r="I443" s="1331">
        <v>-65</v>
      </c>
      <c r="J443" s="1331">
        <v>-52</v>
      </c>
      <c r="K443" s="1331">
        <v>-117</v>
      </c>
      <c r="L443" s="653" t="str">
        <f t="shared" si="196"/>
        <v>4781@</v>
      </c>
      <c r="M443" s="654" t="str">
        <f t="shared" si="197"/>
        <v>VENTES PNEUS</v>
      </c>
      <c r="N443" s="655">
        <f>+IF(OR($Q443=Parametres!$G$2,$Q443=Parametres!$G$3),I443,C443)</f>
        <v>-65</v>
      </c>
      <c r="O443" s="655">
        <f>+IF(OR($Q443=Parametres!$G$2,$Q443=Parametres!$G$3),J443,D443)</f>
        <v>-52</v>
      </c>
      <c r="P443" s="655">
        <f>+IF(OR($Q443=Parametres!$G$2,$Q443=Parametres!$G$3),K443,E443)</f>
        <v>-117</v>
      </c>
      <c r="Q443" s="654" t="str">
        <f t="shared" si="198"/>
        <v>10-Compte compteur</v>
      </c>
      <c r="R443" s="653" t="str">
        <f t="shared" si="199"/>
        <v>4781</v>
      </c>
      <c r="S443" s="654" t="str">
        <f t="shared" si="200"/>
        <v>_</v>
      </c>
      <c r="T443" s="656" t="str">
        <f>+VLOOKUP($L443,Data_Validation!$A:$D,1,0)</f>
        <v>4781@</v>
      </c>
      <c r="U443" s="656" t="str">
        <f>+VLOOKUP($L443,Data_Validation!$A:$D,3,0)</f>
        <v>Pièces</v>
      </c>
      <c r="V443" s="656" t="str">
        <f>+VLOOKUP($L443,Data_Validation!$A:$D,4,0)</f>
        <v>Ventes Pneus</v>
      </c>
      <c r="W443" s="656" t="str">
        <f>+VLOOKUP($L443,Data_Validation!$A:$E,5,0)</f>
        <v>NB</v>
      </c>
      <c r="X443" s="656">
        <f>+VLOOKUP($L443,Data_Validation!$A:$F,6,0)</f>
        <v>0</v>
      </c>
    </row>
    <row r="444" spans="1:24" ht="15.75" customHeight="1">
      <c r="A444" s="1329" t="s">
        <v>1294</v>
      </c>
      <c r="B444" s="1329" t="s">
        <v>1296</v>
      </c>
      <c r="C444" s="1330"/>
      <c r="D444" s="1330"/>
      <c r="E444" s="1330"/>
      <c r="F444" s="1329" t="s">
        <v>7</v>
      </c>
      <c r="G444" s="1329" t="s">
        <v>1295</v>
      </c>
      <c r="H444" s="1329" t="s">
        <v>3942</v>
      </c>
      <c r="I444" s="1331">
        <v>-9</v>
      </c>
      <c r="J444" s="1331">
        <v>-4</v>
      </c>
      <c r="K444" s="1331">
        <v>-13</v>
      </c>
      <c r="L444" s="653" t="str">
        <f t="shared" si="196"/>
        <v>9163@</v>
      </c>
      <c r="M444" s="654" t="str">
        <f t="shared" si="197"/>
        <v>RESERVE FIN ET ASS VEH OCCASION</v>
      </c>
      <c r="N444" s="655">
        <f>+IF(OR($Q444=Parametres!$G$2,$Q444=Parametres!$G$3),I444,C444)</f>
        <v>-9</v>
      </c>
      <c r="O444" s="655">
        <f>+IF(OR($Q444=Parametres!$G$2,$Q444=Parametres!$G$3),J444,D444)</f>
        <v>-4</v>
      </c>
      <c r="P444" s="655">
        <f>+IF(OR($Q444=Parametres!$G$2,$Q444=Parametres!$G$3),K444,E444)</f>
        <v>-13</v>
      </c>
      <c r="Q444" s="654" t="str">
        <f t="shared" si="198"/>
        <v>10-Compte compteur</v>
      </c>
      <c r="R444" s="653" t="str">
        <f t="shared" si="199"/>
        <v>9163</v>
      </c>
      <c r="S444" s="654" t="str">
        <f t="shared" si="200"/>
        <v>_</v>
      </c>
      <c r="T444" s="656" t="str">
        <f>+VLOOKUP($L444,Data_Validation!$A:$D,1,0)</f>
        <v>9163@</v>
      </c>
      <c r="U444" s="656" t="str">
        <f>+VLOOKUP($L444,Data_Validation!$A:$D,3,0)</f>
        <v>Véhicules usagés</v>
      </c>
      <c r="V444" s="656">
        <f>+VLOOKUP($L444,Data_Validation!$A:$D,4,0)</f>
        <v>0</v>
      </c>
      <c r="W444" s="656" t="str">
        <f>+VLOOKUP($L444,Data_Validation!$A:$E,5,0)</f>
        <v>NB</v>
      </c>
      <c r="X444" s="656">
        <f>+VLOOKUP($L444,Data_Validation!$A:$F,6,0)</f>
        <v>0</v>
      </c>
    </row>
    <row r="445" spans="1:24" ht="15.75" customHeight="1">
      <c r="A445" s="1329" t="s">
        <v>3346</v>
      </c>
      <c r="B445" s="1329" t="s">
        <v>3347</v>
      </c>
      <c r="C445" s="1330"/>
      <c r="D445" s="1330"/>
      <c r="E445" s="1330"/>
      <c r="F445" s="1329" t="s">
        <v>7</v>
      </c>
      <c r="G445" s="1329" t="s">
        <v>1291</v>
      </c>
      <c r="H445" s="1329" t="s">
        <v>3942</v>
      </c>
      <c r="I445" s="1331">
        <v>-44</v>
      </c>
      <c r="J445" s="1331">
        <v>-43</v>
      </c>
      <c r="K445" s="1331">
        <v>-87</v>
      </c>
      <c r="L445" s="653" t="str">
        <f t="shared" si="196"/>
        <v>9170@</v>
      </c>
      <c r="M445" s="654" t="str">
        <f t="shared" si="197"/>
        <v># DE PROFIT PROTECTIONS - NEUFS</v>
      </c>
      <c r="N445" s="655">
        <f>+IF(OR($Q445=Parametres!$G$2,$Q445=Parametres!$G$3),I445,C445)</f>
        <v>-44</v>
      </c>
      <c r="O445" s="655">
        <f>+IF(OR($Q445=Parametres!$G$2,$Q445=Parametres!$G$3),J445,D445)</f>
        <v>-43</v>
      </c>
      <c r="P445" s="655">
        <f>+IF(OR($Q445=Parametres!$G$2,$Q445=Parametres!$G$3),K445,E445)</f>
        <v>-87</v>
      </c>
      <c r="Q445" s="654" t="str">
        <f t="shared" si="198"/>
        <v>10-Compte compteur</v>
      </c>
      <c r="R445" s="653" t="str">
        <f t="shared" si="199"/>
        <v>9161</v>
      </c>
      <c r="S445" s="654" t="str">
        <f t="shared" si="200"/>
        <v>_</v>
      </c>
      <c r="T445" s="656" t="str">
        <f>+VLOOKUP($L445,Data_Validation!$A:$D,1,0)</f>
        <v>9170@</v>
      </c>
      <c r="U445" s="656" t="str">
        <f>+VLOOKUP($L445,Data_Validation!$A:$D,3,0)</f>
        <v>Véhicules neufs</v>
      </c>
      <c r="V445" s="656">
        <f>+VLOOKUP($L445,Data_Validation!$A:$D,4,0)</f>
        <v>0</v>
      </c>
      <c r="W445" s="656" t="str">
        <f>+VLOOKUP($L445,Data_Validation!$A:$E,5,0)</f>
        <v>NB</v>
      </c>
      <c r="X445" s="656">
        <f>+VLOOKUP($L445,Data_Validation!$A:$F,6,0)</f>
        <v>0</v>
      </c>
    </row>
    <row r="446" spans="1:24" ht="15.75" customHeight="1">
      <c r="A446" s="1329" t="s">
        <v>1307</v>
      </c>
      <c r="B446" s="1329" t="s">
        <v>1308</v>
      </c>
      <c r="C446" s="1330"/>
      <c r="D446" s="1330"/>
      <c r="E446" s="1330"/>
      <c r="F446" s="1329" t="s">
        <v>7</v>
      </c>
      <c r="G446" s="1329" t="s">
        <v>1295</v>
      </c>
      <c r="H446" s="1329" t="s">
        <v>3942</v>
      </c>
      <c r="I446" s="1331">
        <v>-34</v>
      </c>
      <c r="J446" s="1331">
        <v>-16</v>
      </c>
      <c r="K446" s="1331">
        <v>-50</v>
      </c>
      <c r="L446" s="653" t="str">
        <f t="shared" si="196"/>
        <v>9172@</v>
      </c>
      <c r="M446" s="654" t="str">
        <f t="shared" si="197"/>
        <v># DE PROFIT PROTECTIONS - USAGES</v>
      </c>
      <c r="N446" s="655">
        <f>+IF(OR($Q446=Parametres!$G$2,$Q446=Parametres!$G$3),I446,C446)</f>
        <v>-34</v>
      </c>
      <c r="O446" s="655">
        <f>+IF(OR($Q446=Parametres!$G$2,$Q446=Parametres!$G$3),J446,D446)</f>
        <v>-16</v>
      </c>
      <c r="P446" s="655">
        <f>+IF(OR($Q446=Parametres!$G$2,$Q446=Parametres!$G$3),K446,E446)</f>
        <v>-50</v>
      </c>
      <c r="Q446" s="654" t="str">
        <f t="shared" si="198"/>
        <v>10-Compte compteur</v>
      </c>
      <c r="R446" s="653" t="str">
        <f t="shared" si="199"/>
        <v>9163</v>
      </c>
      <c r="S446" s="654" t="str">
        <f t="shared" si="200"/>
        <v>_</v>
      </c>
      <c r="T446" s="656" t="str">
        <f>+VLOOKUP($L446,Data_Validation!$A:$D,1,0)</f>
        <v>9172@</v>
      </c>
      <c r="U446" s="656" t="str">
        <f>+VLOOKUP($L446,Data_Validation!$A:$D,3,0)</f>
        <v>Véhicules usagés</v>
      </c>
      <c r="V446" s="656">
        <f>+VLOOKUP($L446,Data_Validation!$A:$D,4,0)</f>
        <v>0</v>
      </c>
      <c r="W446" s="656" t="str">
        <f>+VLOOKUP($L446,Data_Validation!$A:$E,5,0)</f>
        <v>NB</v>
      </c>
      <c r="X446" s="656">
        <f>+VLOOKUP($L446,Data_Validation!$A:$F,6,0)</f>
        <v>0</v>
      </c>
    </row>
    <row r="447" spans="1:24" ht="15.75" customHeight="1">
      <c r="C447" s="966"/>
      <c r="D447" s="966"/>
      <c r="E447" s="966"/>
      <c r="I447" s="967"/>
      <c r="J447" s="967"/>
      <c r="K447" s="967"/>
      <c r="O447" s="673"/>
    </row>
    <row r="448" spans="1:24" ht="15.75" customHeight="1">
      <c r="C448" s="966"/>
      <c r="D448" s="966"/>
      <c r="E448" s="966"/>
      <c r="I448" s="967"/>
      <c r="J448" s="967"/>
      <c r="K448" s="967"/>
      <c r="O448" s="673"/>
    </row>
    <row r="449" spans="3:15" ht="15.75" customHeight="1">
      <c r="C449" s="966"/>
      <c r="D449" s="966"/>
      <c r="E449" s="966"/>
      <c r="I449" s="967"/>
      <c r="J449" s="967"/>
      <c r="K449" s="967"/>
      <c r="O449" s="673"/>
    </row>
    <row r="450" spans="3:15" ht="15.75" customHeight="1">
      <c r="C450" s="966"/>
      <c r="D450" s="966"/>
      <c r="E450" s="966"/>
      <c r="I450" s="967"/>
      <c r="J450" s="967"/>
      <c r="K450" s="967"/>
      <c r="O450" s="673"/>
    </row>
    <row r="451" spans="3:15" ht="15.75" customHeight="1">
      <c r="C451" s="966"/>
      <c r="D451" s="966"/>
      <c r="E451" s="966"/>
      <c r="I451" s="967"/>
      <c r="J451" s="967"/>
      <c r="K451" s="967"/>
      <c r="O451" s="673"/>
    </row>
    <row r="452" spans="3:15" ht="15.75" customHeight="1">
      <c r="C452" s="966"/>
      <c r="D452" s="966"/>
      <c r="E452" s="966"/>
      <c r="I452" s="967"/>
      <c r="J452" s="967"/>
      <c r="K452" s="967"/>
      <c r="O452" s="673"/>
    </row>
  </sheetData>
  <autoFilter ref="A1:X446"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244" workbookViewId="0">
      <selection activeCell="B267" sqref="B267"/>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3358</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3359</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3360</v>
      </c>
      <c r="B14" s="678" t="s">
        <v>1343</v>
      </c>
      <c r="C14" s="679" t="s">
        <v>1321</v>
      </c>
      <c r="D14" s="679" t="s">
        <v>25</v>
      </c>
      <c r="E14" s="680" t="s">
        <v>303</v>
      </c>
      <c r="F14" s="681"/>
      <c r="G14" s="680" t="e">
        <v>#N/A</v>
      </c>
      <c r="H14" s="33"/>
      <c r="K14" s="683" t="s">
        <v>173</v>
      </c>
    </row>
    <row r="15" spans="1:13" ht="15" customHeight="1">
      <c r="A15" s="690" t="s">
        <v>3361</v>
      </c>
      <c r="B15" s="678" t="s">
        <v>820</v>
      </c>
      <c r="C15" s="679" t="s">
        <v>1321</v>
      </c>
      <c r="D15" s="679" t="s">
        <v>25</v>
      </c>
      <c r="E15" s="680" t="s">
        <v>303</v>
      </c>
      <c r="F15" s="681"/>
      <c r="G15" s="682" t="e">
        <v>#N/A</v>
      </c>
      <c r="H15" s="33"/>
      <c r="K15" s="683" t="str">
        <f>Print_Mois!C312</f>
        <v>Autostock</v>
      </c>
      <c r="M15" s="5" t="s">
        <v>304</v>
      </c>
    </row>
    <row r="16" spans="1:13" ht="15" customHeight="1">
      <c r="A16" s="690" t="s">
        <v>3351</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3362</v>
      </c>
      <c r="B22" s="678" t="s">
        <v>830</v>
      </c>
      <c r="C22" s="679" t="s">
        <v>1321</v>
      </c>
      <c r="D22" s="679" t="s">
        <v>40</v>
      </c>
      <c r="E22" s="680" t="s">
        <v>303</v>
      </c>
      <c r="F22" s="681"/>
      <c r="G22" s="682" t="s">
        <v>902</v>
      </c>
      <c r="H22" s="33"/>
      <c r="K22" s="683" t="s">
        <v>67</v>
      </c>
    </row>
    <row r="23" spans="1:13" ht="15" customHeight="1">
      <c r="A23" s="690" t="s">
        <v>3363</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3343</v>
      </c>
      <c r="B28" s="687" t="s">
        <v>1345</v>
      </c>
      <c r="C28" s="679" t="s">
        <v>1321</v>
      </c>
      <c r="D28" s="679" t="s">
        <v>42</v>
      </c>
      <c r="E28" s="680" t="s">
        <v>303</v>
      </c>
      <c r="F28" s="681"/>
      <c r="G28" s="680" t="s">
        <v>2</v>
      </c>
      <c r="H28" s="33"/>
      <c r="K28" s="683" t="s">
        <v>98</v>
      </c>
    </row>
    <row r="29" spans="1:13" ht="15" customHeight="1">
      <c r="A29" s="687" t="s">
        <v>3364</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963"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3365</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3366</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3367</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3368</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3369</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3370</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3371</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964" t="s">
        <v>3406</v>
      </c>
      <c r="B83" s="678" t="s">
        <v>3405</v>
      </c>
      <c r="C83" s="679" t="s">
        <v>1321</v>
      </c>
      <c r="D83" s="679" t="s">
        <v>70</v>
      </c>
      <c r="E83" s="680" t="s">
        <v>303</v>
      </c>
      <c r="F83" s="681"/>
      <c r="G83" s="682" t="s">
        <v>957</v>
      </c>
      <c r="H83" s="33"/>
      <c r="K83" s="683" t="str">
        <f>Print_Mois!V492</f>
        <v>Intérêts sur marge</v>
      </c>
    </row>
    <row r="84" spans="1:11" ht="15" customHeight="1">
      <c r="A84" s="964"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3319</v>
      </c>
      <c r="C99" s="679" t="s">
        <v>1321</v>
      </c>
      <c r="D99" s="679" t="s">
        <v>82</v>
      </c>
      <c r="E99" s="680" t="s">
        <v>303</v>
      </c>
      <c r="F99" s="681"/>
      <c r="G99" s="682" t="s">
        <v>963</v>
      </c>
      <c r="H99" s="33"/>
      <c r="K99" s="683" t="s">
        <v>75</v>
      </c>
    </row>
    <row r="100" spans="1:11" ht="15" customHeight="1">
      <c r="A100" s="690" t="s">
        <v>3372</v>
      </c>
      <c r="B100" s="678" t="s">
        <v>3320</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3373</v>
      </c>
      <c r="B105" s="678" t="s">
        <v>3313</v>
      </c>
      <c r="C105" s="679" t="s">
        <v>1321</v>
      </c>
      <c r="D105" s="679" t="s">
        <v>57</v>
      </c>
      <c r="E105" s="680" t="s">
        <v>303</v>
      </c>
      <c r="F105" s="681"/>
      <c r="G105" s="682" t="e">
        <v>#N/A</v>
      </c>
      <c r="H105" s="33"/>
      <c r="K105" s="683" t="str">
        <f>Print_Mois!C295</f>
        <v>Pièces Ro Clients</v>
      </c>
    </row>
    <row r="106" spans="1:11" ht="15" customHeight="1">
      <c r="A106" s="690" t="s">
        <v>3374</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3375</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3376</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3336</v>
      </c>
      <c r="B127" s="678" t="s">
        <v>3337</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3377</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3378</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3379</v>
      </c>
      <c r="B201" s="678" t="s">
        <v>1375</v>
      </c>
      <c r="C201" s="679" t="s">
        <v>92</v>
      </c>
      <c r="D201" s="679" t="s">
        <v>98</v>
      </c>
      <c r="E201" s="680" t="s">
        <v>303</v>
      </c>
      <c r="F201" s="681" t="s">
        <v>1368</v>
      </c>
      <c r="G201" s="682" t="e">
        <v>#N/A</v>
      </c>
      <c r="H201" s="3"/>
    </row>
    <row r="202" spans="1:8" ht="15" customHeight="1">
      <c r="A202" s="963"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3352</v>
      </c>
      <c r="B205" s="678" t="s">
        <v>772</v>
      </c>
      <c r="C205" s="679"/>
      <c r="D205" s="679"/>
      <c r="E205" s="680"/>
      <c r="F205" s="681"/>
      <c r="G205" s="682" t="s">
        <v>816</v>
      </c>
      <c r="H205" s="3"/>
    </row>
    <row r="206" spans="1:8" ht="15" customHeight="1">
      <c r="A206" s="690" t="s">
        <v>3348</v>
      </c>
      <c r="B206" s="685" t="s">
        <v>983</v>
      </c>
      <c r="C206" s="679" t="s">
        <v>92</v>
      </c>
      <c r="D206" s="679" t="s">
        <v>98</v>
      </c>
      <c r="E206" s="680" t="s">
        <v>303</v>
      </c>
      <c r="F206" s="681" t="s">
        <v>249</v>
      </c>
      <c r="G206" s="682" t="s">
        <v>963</v>
      </c>
      <c r="H206" s="3"/>
    </row>
    <row r="207" spans="1:8" ht="15" customHeight="1">
      <c r="A207" s="963"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099" t="s">
        <v>3897</v>
      </c>
      <c r="B219" s="678" t="s">
        <v>3896</v>
      </c>
      <c r="C219" s="679" t="s">
        <v>92</v>
      </c>
      <c r="D219" s="679" t="s">
        <v>98</v>
      </c>
      <c r="E219" s="686" t="s">
        <v>341</v>
      </c>
      <c r="F219" s="686"/>
      <c r="G219" s="682" t="s">
        <v>1154</v>
      </c>
      <c r="H219" s="3"/>
    </row>
    <row r="220" spans="1:8" ht="15" customHeight="1">
      <c r="A220" s="690" t="s">
        <v>3380</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3381</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3858</v>
      </c>
      <c r="E235" s="680" t="s">
        <v>303</v>
      </c>
      <c r="F235" s="681" t="s">
        <v>1368</v>
      </c>
      <c r="G235" s="682" t="s">
        <v>963</v>
      </c>
      <c r="H235" s="3"/>
      <c r="I235" s="1136" t="s">
        <v>3858</v>
      </c>
    </row>
    <row r="236" spans="1:9" ht="15" customHeight="1">
      <c r="A236" s="690" t="s">
        <v>1017</v>
      </c>
      <c r="B236" s="678" t="s">
        <v>1016</v>
      </c>
      <c r="C236" s="679" t="s">
        <v>152</v>
      </c>
      <c r="D236" s="679" t="s">
        <v>3858</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3353</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3424</v>
      </c>
      <c r="B253" s="678" t="s">
        <v>3423</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3945</v>
      </c>
      <c r="B256" s="678" t="s">
        <v>3944</v>
      </c>
      <c r="C256" s="679" t="s">
        <v>92</v>
      </c>
      <c r="D256" s="679" t="s">
        <v>98</v>
      </c>
      <c r="E256" s="680" t="s">
        <v>303</v>
      </c>
      <c r="F256" s="681" t="s">
        <v>1368</v>
      </c>
      <c r="G256" s="682" t="e">
        <v>#N/A</v>
      </c>
      <c r="H256" s="3"/>
    </row>
    <row r="257" spans="1:8" ht="15" customHeight="1">
      <c r="A257" s="1099" t="s">
        <v>3947</v>
      </c>
      <c r="B257" s="678" t="s">
        <v>3944</v>
      </c>
      <c r="C257" s="679" t="s">
        <v>92</v>
      </c>
      <c r="D257" s="679" t="s">
        <v>98</v>
      </c>
      <c r="E257" s="686" t="s">
        <v>341</v>
      </c>
      <c r="F257" s="686"/>
      <c r="G257" s="682" t="s">
        <v>1154</v>
      </c>
      <c r="H257" s="3"/>
    </row>
    <row r="258" spans="1:8" ht="15" customHeight="1">
      <c r="A258" s="690" t="s">
        <v>3946</v>
      </c>
      <c r="B258" s="685" t="s">
        <v>3944</v>
      </c>
      <c r="C258" s="679" t="s">
        <v>92</v>
      </c>
      <c r="D258" s="679" t="s">
        <v>98</v>
      </c>
      <c r="E258" s="680" t="s">
        <v>303</v>
      </c>
      <c r="F258" s="680"/>
      <c r="G258" s="682" t="e">
        <v>#N/A</v>
      </c>
      <c r="H258" s="3"/>
    </row>
    <row r="259" spans="1:8" ht="15" customHeight="1">
      <c r="A259" s="690" t="s">
        <v>1037</v>
      </c>
      <c r="B259" s="678" t="s">
        <v>1036</v>
      </c>
      <c r="C259" s="679" t="s">
        <v>161</v>
      </c>
      <c r="D259" s="679" t="s">
        <v>172</v>
      </c>
      <c r="E259" s="680" t="s">
        <v>303</v>
      </c>
      <c r="F259" s="681" t="s">
        <v>1368</v>
      </c>
      <c r="G259" s="682" t="e">
        <v>#N/A</v>
      </c>
      <c r="H259" s="3"/>
    </row>
    <row r="260" spans="1:8" ht="15" customHeight="1">
      <c r="A260" s="690" t="s">
        <v>1038</v>
      </c>
      <c r="B260" s="678" t="s">
        <v>1036</v>
      </c>
      <c r="C260" s="679" t="s">
        <v>161</v>
      </c>
      <c r="D260" s="679" t="s">
        <v>172</v>
      </c>
      <c r="E260" s="686" t="s">
        <v>341</v>
      </c>
      <c r="F260" s="686"/>
      <c r="G260" s="682" t="s">
        <v>1285</v>
      </c>
      <c r="H260" s="3"/>
    </row>
    <row r="261" spans="1:8" ht="15" customHeight="1">
      <c r="A261" s="690" t="s">
        <v>1040</v>
      </c>
      <c r="B261" s="678" t="s">
        <v>1039</v>
      </c>
      <c r="C261" s="679" t="s">
        <v>161</v>
      </c>
      <c r="D261" s="679" t="s">
        <v>172</v>
      </c>
      <c r="E261" s="680" t="s">
        <v>303</v>
      </c>
      <c r="F261" s="681" t="s">
        <v>1368</v>
      </c>
      <c r="G261" s="682" t="s">
        <v>963</v>
      </c>
      <c r="H261" s="3"/>
    </row>
    <row r="262" spans="1:8" ht="15" customHeight="1">
      <c r="A262" s="690" t="s">
        <v>1042</v>
      </c>
      <c r="B262" s="678" t="s">
        <v>1041</v>
      </c>
      <c r="C262" s="679" t="s">
        <v>161</v>
      </c>
      <c r="D262" s="679" t="s">
        <v>172</v>
      </c>
      <c r="E262" s="686" t="s">
        <v>341</v>
      </c>
      <c r="F262" s="686"/>
      <c r="G262" s="682" t="s">
        <v>1285</v>
      </c>
      <c r="H262" s="3"/>
    </row>
    <row r="263" spans="1:8" ht="15" customHeight="1">
      <c r="A263" s="690" t="s">
        <v>1044</v>
      </c>
      <c r="B263" s="678" t="s">
        <v>1043</v>
      </c>
      <c r="C263" s="679" t="s">
        <v>161</v>
      </c>
      <c r="D263" s="679" t="s">
        <v>172</v>
      </c>
      <c r="E263" s="680" t="s">
        <v>303</v>
      </c>
      <c r="F263" s="681" t="s">
        <v>1368</v>
      </c>
      <c r="G263" s="682" t="s">
        <v>7</v>
      </c>
      <c r="H263" s="3"/>
    </row>
    <row r="264" spans="1:8" ht="15" customHeight="1">
      <c r="A264" s="690" t="s">
        <v>1046</v>
      </c>
      <c r="B264" s="678" t="s">
        <v>1045</v>
      </c>
      <c r="C264" s="679" t="s">
        <v>161</v>
      </c>
      <c r="D264" s="679" t="s">
        <v>172</v>
      </c>
      <c r="E264" s="686" t="s">
        <v>341</v>
      </c>
      <c r="F264" s="686"/>
      <c r="G264" s="682" t="e">
        <v>#N/A</v>
      </c>
      <c r="H264" s="3"/>
    </row>
    <row r="265" spans="1:8" ht="15" customHeight="1">
      <c r="A265" s="690" t="s">
        <v>3333</v>
      </c>
      <c r="B265" s="678" t="s">
        <v>1047</v>
      </c>
      <c r="C265" s="679" t="s">
        <v>176</v>
      </c>
      <c r="D265" s="679" t="s">
        <v>177</v>
      </c>
      <c r="E265" s="680" t="s">
        <v>303</v>
      </c>
      <c r="F265" s="681" t="s">
        <v>1368</v>
      </c>
      <c r="G265" s="682" t="s">
        <v>963</v>
      </c>
      <c r="H265" s="3"/>
    </row>
    <row r="266" spans="1:8" ht="15" customHeight="1">
      <c r="A266" s="963" t="s">
        <v>1049</v>
      </c>
      <c r="B266" s="678" t="s">
        <v>1048</v>
      </c>
      <c r="C266" s="679" t="s">
        <v>176</v>
      </c>
      <c r="D266" s="679" t="s">
        <v>177</v>
      </c>
      <c r="E266" s="686" t="s">
        <v>341</v>
      </c>
      <c r="F266" s="686"/>
      <c r="G266" s="682" t="e">
        <v>#N/A</v>
      </c>
      <c r="H266" s="3"/>
    </row>
    <row r="267" spans="1:8" ht="15" customHeight="1">
      <c r="A267" s="690" t="s">
        <v>3426</v>
      </c>
      <c r="B267" s="678" t="s">
        <v>3425</v>
      </c>
      <c r="C267" s="679" t="s">
        <v>161</v>
      </c>
      <c r="D267" s="679" t="s">
        <v>173</v>
      </c>
      <c r="E267" s="680" t="s">
        <v>303</v>
      </c>
      <c r="F267" s="681" t="s">
        <v>1368</v>
      </c>
      <c r="G267" s="682" t="s">
        <v>7</v>
      </c>
      <c r="H267" s="3"/>
    </row>
    <row r="268" spans="1:8" ht="15" customHeight="1">
      <c r="A268" s="963" t="s">
        <v>3430</v>
      </c>
      <c r="B268" s="678" t="s">
        <v>3429</v>
      </c>
      <c r="C268" s="679" t="s">
        <v>161</v>
      </c>
      <c r="D268" s="679" t="s">
        <v>173</v>
      </c>
      <c r="E268" s="686" t="s">
        <v>341</v>
      </c>
      <c r="F268" s="686"/>
      <c r="G268" s="682" t="s">
        <v>7</v>
      </c>
      <c r="H268" s="3"/>
    </row>
    <row r="269" spans="1:8" ht="15" customHeight="1">
      <c r="A269" s="690" t="s">
        <v>1051</v>
      </c>
      <c r="B269" s="678" t="s">
        <v>1050</v>
      </c>
      <c r="C269" s="679" t="s">
        <v>176</v>
      </c>
      <c r="D269" s="679" t="s">
        <v>177</v>
      </c>
      <c r="E269" s="680" t="s">
        <v>303</v>
      </c>
      <c r="F269" s="681" t="s">
        <v>1368</v>
      </c>
      <c r="G269" s="682" t="s">
        <v>1285</v>
      </c>
      <c r="H269" s="3"/>
    </row>
    <row r="270" spans="1:8" ht="15" customHeight="1">
      <c r="A270" s="690" t="s">
        <v>1053</v>
      </c>
      <c r="B270" s="678" t="s">
        <v>1052</v>
      </c>
      <c r="C270" s="679" t="s">
        <v>176</v>
      </c>
      <c r="D270" s="679" t="s">
        <v>177</v>
      </c>
      <c r="E270" s="686" t="s">
        <v>341</v>
      </c>
      <c r="F270" s="686"/>
      <c r="G270" s="682" t="s">
        <v>7</v>
      </c>
      <c r="H270" s="3"/>
    </row>
    <row r="271" spans="1:8" ht="15" customHeight="1">
      <c r="A271" s="690" t="s">
        <v>1055</v>
      </c>
      <c r="B271" s="678" t="s">
        <v>1054</v>
      </c>
      <c r="C271" s="679" t="s">
        <v>176</v>
      </c>
      <c r="D271" s="679" t="s">
        <v>177</v>
      </c>
      <c r="E271" s="680" t="s">
        <v>303</v>
      </c>
      <c r="F271" s="681" t="s">
        <v>1368</v>
      </c>
      <c r="G271" s="682" t="s">
        <v>1285</v>
      </c>
      <c r="H271" s="3"/>
    </row>
    <row r="272" spans="1:8" ht="15" customHeight="1">
      <c r="A272" s="690" t="s">
        <v>1057</v>
      </c>
      <c r="B272" s="678" t="s">
        <v>1056</v>
      </c>
      <c r="C272" s="679" t="s">
        <v>176</v>
      </c>
      <c r="D272" s="679" t="s">
        <v>177</v>
      </c>
      <c r="E272" s="686" t="s">
        <v>341</v>
      </c>
      <c r="F272" s="686"/>
      <c r="G272" s="682" t="s">
        <v>7</v>
      </c>
      <c r="H272" s="3"/>
    </row>
    <row r="273" spans="1:8" ht="15" customHeight="1">
      <c r="A273" s="690" t="s">
        <v>1059</v>
      </c>
      <c r="B273" s="678" t="s">
        <v>1058</v>
      </c>
      <c r="C273" s="679" t="s">
        <v>176</v>
      </c>
      <c r="D273" s="679" t="s">
        <v>177</v>
      </c>
      <c r="E273" s="680" t="s">
        <v>303</v>
      </c>
      <c r="F273" s="681" t="s">
        <v>1368</v>
      </c>
      <c r="G273" s="682" t="s">
        <v>1285</v>
      </c>
      <c r="H273" s="3"/>
    </row>
    <row r="274" spans="1:8" ht="15" customHeight="1">
      <c r="A274" s="678" t="s">
        <v>1061</v>
      </c>
      <c r="B274" s="678" t="s">
        <v>1060</v>
      </c>
      <c r="C274" s="679" t="s">
        <v>176</v>
      </c>
      <c r="D274" s="679" t="s">
        <v>177</v>
      </c>
      <c r="E274" s="686" t="s">
        <v>341</v>
      </c>
      <c r="F274" s="686"/>
      <c r="G274" s="682" t="s">
        <v>7</v>
      </c>
      <c r="H274" s="3"/>
    </row>
    <row r="275" spans="1:8" ht="15" customHeight="1">
      <c r="A275" s="690" t="s">
        <v>1063</v>
      </c>
      <c r="B275" s="678" t="s">
        <v>1062</v>
      </c>
      <c r="C275" s="679" t="s">
        <v>180</v>
      </c>
      <c r="D275" s="679" t="s">
        <v>182</v>
      </c>
      <c r="E275" s="680" t="s">
        <v>303</v>
      </c>
      <c r="F275" s="681" t="s">
        <v>1368</v>
      </c>
      <c r="G275" s="682" t="s">
        <v>963</v>
      </c>
      <c r="H275" s="3"/>
    </row>
    <row r="276" spans="1:8" ht="15" customHeight="1">
      <c r="A276" s="690" t="s">
        <v>1065</v>
      </c>
      <c r="B276" s="678" t="s">
        <v>1064</v>
      </c>
      <c r="C276" s="679" t="s">
        <v>180</v>
      </c>
      <c r="D276" s="679" t="s">
        <v>182</v>
      </c>
      <c r="E276" s="686" t="s">
        <v>341</v>
      </c>
      <c r="F276" s="686"/>
      <c r="G276" s="682" t="e">
        <v>#N/A</v>
      </c>
      <c r="H276" s="3"/>
    </row>
    <row r="277" spans="1:8" ht="15" customHeight="1">
      <c r="A277" s="690" t="s">
        <v>1067</v>
      </c>
      <c r="B277" s="678" t="s">
        <v>1066</v>
      </c>
      <c r="C277" s="679" t="s">
        <v>161</v>
      </c>
      <c r="D277" s="679" t="s">
        <v>164</v>
      </c>
      <c r="E277" s="680" t="s">
        <v>303</v>
      </c>
      <c r="F277" s="681" t="s">
        <v>1368</v>
      </c>
      <c r="G277" s="682" t="s">
        <v>7</v>
      </c>
      <c r="H277" s="3"/>
    </row>
    <row r="278" spans="1:8" ht="15" customHeight="1">
      <c r="A278" s="690" t="s">
        <v>1069</v>
      </c>
      <c r="B278" s="678" t="s">
        <v>1068</v>
      </c>
      <c r="C278" s="679" t="s">
        <v>180</v>
      </c>
      <c r="D278" s="679" t="s">
        <v>184</v>
      </c>
      <c r="E278" s="680" t="s">
        <v>303</v>
      </c>
      <c r="F278" s="681" t="s">
        <v>1368</v>
      </c>
      <c r="G278" s="682" t="s">
        <v>963</v>
      </c>
      <c r="H278" s="3"/>
    </row>
    <row r="279" spans="1:8" ht="15" customHeight="1">
      <c r="A279" s="690" t="s">
        <v>1071</v>
      </c>
      <c r="B279" s="678" t="s">
        <v>1070</v>
      </c>
      <c r="C279" s="679" t="s">
        <v>180</v>
      </c>
      <c r="D279" s="679" t="s">
        <v>184</v>
      </c>
      <c r="E279" s="686" t="s">
        <v>341</v>
      </c>
      <c r="F279" s="681"/>
      <c r="G279" s="682" t="s">
        <v>1285</v>
      </c>
      <c r="H279" s="3"/>
    </row>
    <row r="280" spans="1:8" ht="15" customHeight="1">
      <c r="A280" s="690" t="s">
        <v>3416</v>
      </c>
      <c r="B280" s="678" t="s">
        <v>1066</v>
      </c>
      <c r="C280" s="679" t="s">
        <v>161</v>
      </c>
      <c r="D280" s="679" t="s">
        <v>167</v>
      </c>
      <c r="E280" s="680" t="s">
        <v>303</v>
      </c>
      <c r="F280" s="681" t="s">
        <v>1368</v>
      </c>
      <c r="G280" s="682" t="s">
        <v>7</v>
      </c>
      <c r="H280" s="3"/>
    </row>
    <row r="281" spans="1:8" ht="15" customHeight="1">
      <c r="A281" s="690" t="s">
        <v>1073</v>
      </c>
      <c r="B281" s="678" t="s">
        <v>1072</v>
      </c>
      <c r="C281" s="679" t="s">
        <v>180</v>
      </c>
      <c r="D281" s="679" t="s">
        <v>185</v>
      </c>
      <c r="E281" s="680" t="s">
        <v>303</v>
      </c>
      <c r="F281" s="681" t="s">
        <v>1368</v>
      </c>
      <c r="G281" s="682" t="s">
        <v>963</v>
      </c>
      <c r="H281" s="3"/>
    </row>
    <row r="282" spans="1:8" ht="15" customHeight="1">
      <c r="A282" s="690" t="s">
        <v>1075</v>
      </c>
      <c r="B282" s="678" t="s">
        <v>1074</v>
      </c>
      <c r="C282" s="679" t="s">
        <v>180</v>
      </c>
      <c r="D282" s="679" t="s">
        <v>185</v>
      </c>
      <c r="E282" s="686" t="s">
        <v>341</v>
      </c>
      <c r="F282" s="681"/>
      <c r="G282" s="682" t="s">
        <v>7</v>
      </c>
      <c r="H282" s="3"/>
    </row>
    <row r="283" spans="1:8" ht="15" customHeight="1">
      <c r="A283" s="690" t="s">
        <v>1076</v>
      </c>
      <c r="B283" s="678" t="s">
        <v>1066</v>
      </c>
      <c r="C283" s="679" t="s">
        <v>161</v>
      </c>
      <c r="D283" s="679" t="s">
        <v>167</v>
      </c>
      <c r="E283" s="680" t="s">
        <v>303</v>
      </c>
      <c r="F283" s="681" t="s">
        <v>1368</v>
      </c>
      <c r="G283" s="682" t="s">
        <v>7</v>
      </c>
      <c r="H283" s="3"/>
    </row>
    <row r="284" spans="1:8" ht="15" customHeight="1">
      <c r="A284" s="690" t="s">
        <v>1142</v>
      </c>
      <c r="B284" s="678" t="s">
        <v>1077</v>
      </c>
      <c r="C284" s="679" t="s">
        <v>180</v>
      </c>
      <c r="D284" s="679" t="s">
        <v>182</v>
      </c>
      <c r="E284" s="680" t="s">
        <v>303</v>
      </c>
      <c r="F284" s="681" t="s">
        <v>1368</v>
      </c>
      <c r="G284" s="682" t="s">
        <v>963</v>
      </c>
      <c r="H284" s="3"/>
    </row>
    <row r="285" spans="1:8" ht="15" customHeight="1">
      <c r="A285" s="678" t="s">
        <v>1080</v>
      </c>
      <c r="B285" s="678" t="s">
        <v>1079</v>
      </c>
      <c r="C285" s="679" t="s">
        <v>180</v>
      </c>
      <c r="D285" s="679" t="s">
        <v>182</v>
      </c>
      <c r="E285" s="686" t="s">
        <v>341</v>
      </c>
      <c r="F285" s="681"/>
      <c r="G285" s="682" t="s">
        <v>1285</v>
      </c>
      <c r="H285" s="3"/>
    </row>
    <row r="286" spans="1:8" ht="15" customHeight="1">
      <c r="A286" s="690" t="s">
        <v>3382</v>
      </c>
      <c r="B286" s="678" t="s">
        <v>1081</v>
      </c>
      <c r="C286" s="679" t="s">
        <v>180</v>
      </c>
      <c r="D286" s="679" t="s">
        <v>185</v>
      </c>
      <c r="E286" s="680" t="s">
        <v>303</v>
      </c>
      <c r="F286" s="681" t="s">
        <v>1368</v>
      </c>
      <c r="G286" s="682" t="s">
        <v>7</v>
      </c>
      <c r="H286" s="3"/>
    </row>
    <row r="287" spans="1:8" ht="15" customHeight="1">
      <c r="A287" s="979" t="s">
        <v>1083</v>
      </c>
      <c r="B287" s="678" t="s">
        <v>1082</v>
      </c>
      <c r="C287" s="679" t="s">
        <v>180</v>
      </c>
      <c r="D287" s="679" t="s">
        <v>185</v>
      </c>
      <c r="E287" s="686" t="s">
        <v>341</v>
      </c>
      <c r="F287" s="681"/>
      <c r="G287" s="682" t="s">
        <v>7</v>
      </c>
      <c r="H287" s="3"/>
    </row>
    <row r="288" spans="1:8" ht="15" customHeight="1">
      <c r="A288" s="678" t="s">
        <v>2022</v>
      </c>
      <c r="B288" s="678" t="s">
        <v>1077</v>
      </c>
      <c r="C288" s="679" t="s">
        <v>180</v>
      </c>
      <c r="D288" s="679" t="s">
        <v>182</v>
      </c>
      <c r="E288" s="680" t="s">
        <v>303</v>
      </c>
      <c r="F288" s="681" t="s">
        <v>1368</v>
      </c>
      <c r="G288" s="680" t="s">
        <v>963</v>
      </c>
      <c r="H288" s="3"/>
    </row>
    <row r="289" spans="1:8" ht="15" customHeight="1">
      <c r="A289" s="690" t="s">
        <v>1427</v>
      </c>
      <c r="B289" s="678" t="s">
        <v>1428</v>
      </c>
      <c r="C289" s="679" t="s">
        <v>180</v>
      </c>
      <c r="D289" s="679" t="s">
        <v>182</v>
      </c>
      <c r="E289" s="686" t="s">
        <v>341</v>
      </c>
      <c r="F289" s="681"/>
      <c r="G289" s="680" t="s">
        <v>1285</v>
      </c>
      <c r="H289" s="3"/>
    </row>
    <row r="290" spans="1:8" ht="15" customHeight="1">
      <c r="A290" s="690" t="s">
        <v>1086</v>
      </c>
      <c r="B290" s="678" t="s">
        <v>1085</v>
      </c>
      <c r="C290" s="679" t="s">
        <v>180</v>
      </c>
      <c r="D290" s="679" t="s">
        <v>183</v>
      </c>
      <c r="E290" s="680" t="s">
        <v>303</v>
      </c>
      <c r="F290" s="681" t="s">
        <v>1368</v>
      </c>
      <c r="G290" s="682" t="s">
        <v>963</v>
      </c>
      <c r="H290" s="3"/>
    </row>
    <row r="291" spans="1:8" ht="15" customHeight="1">
      <c r="A291" s="690" t="s">
        <v>1088</v>
      </c>
      <c r="B291" s="678" t="s">
        <v>1087</v>
      </c>
      <c r="C291" s="679" t="s">
        <v>180</v>
      </c>
      <c r="D291" s="679" t="s">
        <v>183</v>
      </c>
      <c r="E291" s="686" t="s">
        <v>341</v>
      </c>
      <c r="F291" s="681"/>
      <c r="G291" s="682" t="s">
        <v>7</v>
      </c>
      <c r="H291" s="3"/>
    </row>
    <row r="292" spans="1:8" ht="15" customHeight="1">
      <c r="A292" s="690" t="s">
        <v>1090</v>
      </c>
      <c r="B292" s="685" t="s">
        <v>1089</v>
      </c>
      <c r="C292" s="679" t="s">
        <v>180</v>
      </c>
      <c r="D292" s="679" t="s">
        <v>183</v>
      </c>
      <c r="E292" s="680" t="s">
        <v>303</v>
      </c>
      <c r="F292" s="681" t="s">
        <v>1368</v>
      </c>
      <c r="G292" s="682" t="s">
        <v>7</v>
      </c>
      <c r="H292" s="3"/>
    </row>
    <row r="293" spans="1:8" ht="15" customHeight="1">
      <c r="A293" s="690" t="s">
        <v>1092</v>
      </c>
      <c r="B293" s="685" t="s">
        <v>1091</v>
      </c>
      <c r="C293" s="679" t="s">
        <v>180</v>
      </c>
      <c r="D293" s="679" t="s">
        <v>183</v>
      </c>
      <c r="E293" s="686" t="s">
        <v>341</v>
      </c>
      <c r="F293" s="681"/>
      <c r="G293" s="682" t="s">
        <v>1285</v>
      </c>
      <c r="H293" s="3"/>
    </row>
    <row r="294" spans="1:8" ht="15" customHeight="1">
      <c r="A294" s="678" t="s">
        <v>1094</v>
      </c>
      <c r="B294" s="685" t="s">
        <v>1093</v>
      </c>
      <c r="C294" s="679" t="s">
        <v>180</v>
      </c>
      <c r="D294" s="679" t="s">
        <v>183</v>
      </c>
      <c r="E294" s="680" t="s">
        <v>303</v>
      </c>
      <c r="F294" s="681" t="s">
        <v>1368</v>
      </c>
      <c r="G294" s="682" t="e">
        <v>#N/A</v>
      </c>
      <c r="H294" s="3"/>
    </row>
    <row r="295" spans="1:8" ht="15" customHeight="1">
      <c r="A295" s="690" t="s">
        <v>1096</v>
      </c>
      <c r="B295" s="685" t="s">
        <v>1095</v>
      </c>
      <c r="C295" s="679" t="s">
        <v>180</v>
      </c>
      <c r="D295" s="679" t="s">
        <v>183</v>
      </c>
      <c r="E295" s="686" t="s">
        <v>341</v>
      </c>
      <c r="F295" s="681"/>
      <c r="G295" s="682" t="s">
        <v>7</v>
      </c>
      <c r="H295" s="3"/>
    </row>
    <row r="296" spans="1:8" ht="15" customHeight="1">
      <c r="A296" s="690" t="s">
        <v>1098</v>
      </c>
      <c r="B296" s="685" t="s">
        <v>1097</v>
      </c>
      <c r="C296" s="679" t="s">
        <v>180</v>
      </c>
      <c r="D296" s="679" t="s">
        <v>186</v>
      </c>
      <c r="E296" s="680" t="s">
        <v>303</v>
      </c>
      <c r="F296" s="681" t="s">
        <v>1368</v>
      </c>
      <c r="G296" s="682" t="e">
        <v>#N/A</v>
      </c>
      <c r="H296" s="3"/>
    </row>
    <row r="297" spans="1:8" ht="15" customHeight="1">
      <c r="A297" s="690" t="s">
        <v>1100</v>
      </c>
      <c r="B297" s="685" t="s">
        <v>1099</v>
      </c>
      <c r="C297" s="679" t="s">
        <v>180</v>
      </c>
      <c r="D297" s="679" t="s">
        <v>186</v>
      </c>
      <c r="E297" s="686" t="s">
        <v>341</v>
      </c>
      <c r="F297" s="681"/>
      <c r="G297" s="682" t="s">
        <v>1285</v>
      </c>
      <c r="H297" s="3"/>
    </row>
    <row r="298" spans="1:8" ht="15" customHeight="1">
      <c r="A298" s="690" t="s">
        <v>1102</v>
      </c>
      <c r="B298" s="685" t="s">
        <v>1101</v>
      </c>
      <c r="C298" s="679" t="s">
        <v>180</v>
      </c>
      <c r="D298" s="679" t="s">
        <v>187</v>
      </c>
      <c r="E298" s="680" t="s">
        <v>303</v>
      </c>
      <c r="F298" s="681" t="s">
        <v>1368</v>
      </c>
      <c r="G298" s="682" t="e">
        <v>#N/A</v>
      </c>
      <c r="H298" s="3"/>
    </row>
    <row r="299" spans="1:8" ht="15" customHeight="1">
      <c r="A299" s="690" t="s">
        <v>1104</v>
      </c>
      <c r="B299" s="685" t="s">
        <v>1103</v>
      </c>
      <c r="C299" s="679" t="s">
        <v>180</v>
      </c>
      <c r="D299" s="679" t="s">
        <v>187</v>
      </c>
      <c r="E299" s="686" t="s">
        <v>341</v>
      </c>
      <c r="F299" s="681"/>
      <c r="G299" s="682" t="s">
        <v>7</v>
      </c>
      <c r="H299" s="3"/>
    </row>
    <row r="300" spans="1:8" ht="15" customHeight="1">
      <c r="A300" s="690" t="s">
        <v>1106</v>
      </c>
      <c r="B300" s="685" t="s">
        <v>1105</v>
      </c>
      <c r="C300" s="679" t="s">
        <v>180</v>
      </c>
      <c r="D300" s="679" t="s">
        <v>191</v>
      </c>
      <c r="E300" s="680" t="s">
        <v>303</v>
      </c>
      <c r="F300" s="681" t="s">
        <v>1368</v>
      </c>
      <c r="G300" s="682" t="e">
        <v>#N/A</v>
      </c>
      <c r="H300" s="3"/>
    </row>
    <row r="301" spans="1:8" ht="15" customHeight="1">
      <c r="A301" s="690" t="s">
        <v>1107</v>
      </c>
      <c r="B301" s="685" t="s">
        <v>1105</v>
      </c>
      <c r="C301" s="679" t="s">
        <v>180</v>
      </c>
      <c r="D301" s="679" t="s">
        <v>191</v>
      </c>
      <c r="E301" s="686" t="s">
        <v>341</v>
      </c>
      <c r="F301" s="681"/>
      <c r="G301" s="682" t="s">
        <v>1285</v>
      </c>
      <c r="H301" s="3"/>
    </row>
    <row r="302" spans="1:8" ht="15" customHeight="1">
      <c r="A302" s="690" t="s">
        <v>2050</v>
      </c>
      <c r="B302" s="685" t="s">
        <v>1108</v>
      </c>
      <c r="C302" s="679" t="s">
        <v>180</v>
      </c>
      <c r="D302" s="679" t="s">
        <v>191</v>
      </c>
      <c r="E302" s="680" t="s">
        <v>303</v>
      </c>
      <c r="F302" s="681" t="s">
        <v>1368</v>
      </c>
      <c r="G302" s="682" t="s">
        <v>963</v>
      </c>
      <c r="H302" s="3"/>
    </row>
    <row r="303" spans="1:8" ht="15" customHeight="1">
      <c r="A303" s="962" t="s">
        <v>785</v>
      </c>
      <c r="B303" s="695" t="s">
        <v>724</v>
      </c>
      <c r="C303" s="693"/>
      <c r="D303" s="679"/>
      <c r="E303" s="686"/>
      <c r="F303" s="681"/>
      <c r="G303" s="682" t="s">
        <v>816</v>
      </c>
      <c r="H303" s="3"/>
    </row>
    <row r="304" spans="1:8" ht="15" customHeight="1">
      <c r="A304" s="962" t="s">
        <v>2055</v>
      </c>
      <c r="B304" s="694" t="s">
        <v>784</v>
      </c>
      <c r="C304" s="679"/>
      <c r="D304" s="679"/>
      <c r="E304" s="680" t="s">
        <v>303</v>
      </c>
      <c r="F304" s="680"/>
      <c r="G304" s="682" t="e">
        <v>#N/A</v>
      </c>
      <c r="H304" s="3"/>
    </row>
    <row r="305" spans="1:8" ht="15" customHeight="1">
      <c r="A305" s="692" t="s">
        <v>2058</v>
      </c>
      <c r="B305" s="694" t="s">
        <v>1109</v>
      </c>
      <c r="C305" s="679" t="s">
        <v>92</v>
      </c>
      <c r="D305" s="679" t="s">
        <v>104</v>
      </c>
      <c r="E305" s="680" t="s">
        <v>303</v>
      </c>
      <c r="F305" s="681"/>
      <c r="G305" s="682" t="s">
        <v>7</v>
      </c>
      <c r="H305" s="3"/>
    </row>
    <row r="306" spans="1:8" ht="15" customHeight="1">
      <c r="A306" s="962" t="s">
        <v>2061</v>
      </c>
      <c r="B306" s="685" t="s">
        <v>1380</v>
      </c>
      <c r="C306" s="679" t="s">
        <v>92</v>
      </c>
      <c r="D306" s="679" t="s">
        <v>97</v>
      </c>
      <c r="E306" s="680" t="s">
        <v>303</v>
      </c>
      <c r="F306" s="680"/>
      <c r="G306" s="680" t="s">
        <v>963</v>
      </c>
      <c r="H306" s="3"/>
    </row>
    <row r="307" spans="1:8" ht="15" customHeight="1">
      <c r="A307" s="962" t="s">
        <v>2064</v>
      </c>
      <c r="B307" s="984" t="s">
        <v>1381</v>
      </c>
      <c r="C307" s="679" t="s">
        <v>92</v>
      </c>
      <c r="D307" s="679" t="s">
        <v>97</v>
      </c>
      <c r="E307" s="680" t="s">
        <v>303</v>
      </c>
      <c r="F307" s="680"/>
      <c r="G307" s="680" t="s">
        <v>7</v>
      </c>
      <c r="H307" s="3"/>
    </row>
    <row r="308" spans="1:8" ht="15" customHeight="1">
      <c r="A308" s="962" t="s">
        <v>2067</v>
      </c>
      <c r="B308" s="695" t="s">
        <v>1382</v>
      </c>
      <c r="C308" s="693" t="s">
        <v>92</v>
      </c>
      <c r="D308" s="679" t="s">
        <v>97</v>
      </c>
      <c r="E308" s="680" t="s">
        <v>303</v>
      </c>
      <c r="F308" s="680"/>
      <c r="G308" s="680" t="s">
        <v>963</v>
      </c>
      <c r="H308" s="3"/>
    </row>
    <row r="309" spans="1:8" ht="15" customHeight="1">
      <c r="A309" s="690" t="s">
        <v>2070</v>
      </c>
      <c r="B309" s="678" t="s">
        <v>1111</v>
      </c>
      <c r="C309" s="679" t="s">
        <v>92</v>
      </c>
      <c r="D309" s="679" t="s">
        <v>97</v>
      </c>
      <c r="E309" s="680" t="s">
        <v>303</v>
      </c>
      <c r="F309" s="680"/>
      <c r="G309" s="682" t="s">
        <v>7</v>
      </c>
      <c r="H309" s="3"/>
    </row>
    <row r="310" spans="1:8" ht="15" customHeight="1">
      <c r="A310" s="690" t="s">
        <v>1113</v>
      </c>
      <c r="B310" s="685" t="s">
        <v>786</v>
      </c>
      <c r="C310" s="679"/>
      <c r="D310" s="679"/>
      <c r="E310" s="680" t="s">
        <v>303</v>
      </c>
      <c r="F310" s="680"/>
      <c r="G310" s="682" t="e">
        <v>#N/A</v>
      </c>
      <c r="H310" s="3"/>
    </row>
    <row r="311" spans="1:8" ht="15" customHeight="1">
      <c r="A311" s="690" t="s">
        <v>2075</v>
      </c>
      <c r="B311" s="678" t="s">
        <v>1383</v>
      </c>
      <c r="C311" s="679" t="s">
        <v>92</v>
      </c>
      <c r="D311" s="679" t="s">
        <v>97</v>
      </c>
      <c r="E311" s="680" t="s">
        <v>303</v>
      </c>
      <c r="F311" s="680"/>
      <c r="G311" s="682" t="s">
        <v>963</v>
      </c>
      <c r="H311" s="3"/>
    </row>
    <row r="312" spans="1:8" ht="15" customHeight="1">
      <c r="A312" s="690" t="s">
        <v>2078</v>
      </c>
      <c r="B312" s="685" t="s">
        <v>1384</v>
      </c>
      <c r="C312" s="679" t="s">
        <v>92</v>
      </c>
      <c r="D312" s="679" t="s">
        <v>97</v>
      </c>
      <c r="E312" s="680" t="s">
        <v>303</v>
      </c>
      <c r="F312" s="680"/>
      <c r="G312" s="680" t="s">
        <v>7</v>
      </c>
      <c r="H312" s="3"/>
    </row>
    <row r="313" spans="1:8" ht="15" customHeight="1">
      <c r="A313" s="690" t="s">
        <v>2081</v>
      </c>
      <c r="B313" s="678" t="s">
        <v>1385</v>
      </c>
      <c r="C313" s="679" t="s">
        <v>92</v>
      </c>
      <c r="D313" s="679" t="s">
        <v>97</v>
      </c>
      <c r="E313" s="680" t="s">
        <v>303</v>
      </c>
      <c r="F313" s="680"/>
      <c r="G313" s="680" t="s">
        <v>963</v>
      </c>
      <c r="H313" s="3"/>
    </row>
    <row r="314" spans="1:8" ht="15" customHeight="1">
      <c r="A314" s="690" t="s">
        <v>3383</v>
      </c>
      <c r="B314" s="685" t="s">
        <v>1112</v>
      </c>
      <c r="C314" s="679" t="s">
        <v>92</v>
      </c>
      <c r="D314" s="679" t="s">
        <v>98</v>
      </c>
      <c r="E314" s="680" t="s">
        <v>303</v>
      </c>
      <c r="F314" s="680"/>
      <c r="G314" s="682" t="s">
        <v>7</v>
      </c>
      <c r="H314" s="3"/>
    </row>
    <row r="315" spans="1:8" ht="15" customHeight="1">
      <c r="A315" s="690" t="s">
        <v>2084</v>
      </c>
      <c r="B315" s="685" t="s">
        <v>1114</v>
      </c>
      <c r="C315" s="679" t="s">
        <v>92</v>
      </c>
      <c r="D315" s="679" t="s">
        <v>98</v>
      </c>
      <c r="E315" s="680" t="s">
        <v>303</v>
      </c>
      <c r="F315" s="680"/>
      <c r="G315" s="682" t="s">
        <v>963</v>
      </c>
      <c r="H315" s="3"/>
    </row>
    <row r="316" spans="1:8" ht="15" customHeight="1">
      <c r="A316" s="690" t="s">
        <v>2087</v>
      </c>
      <c r="B316" s="678" t="s">
        <v>787</v>
      </c>
      <c r="C316" s="679"/>
      <c r="D316" s="679"/>
      <c r="E316" s="680" t="s">
        <v>303</v>
      </c>
      <c r="F316" s="680"/>
      <c r="G316" s="682" t="e">
        <v>#N/A</v>
      </c>
      <c r="H316" s="3"/>
    </row>
    <row r="317" spans="1:8" ht="15" customHeight="1">
      <c r="A317" s="690" t="s">
        <v>3384</v>
      </c>
      <c r="B317" s="685" t="s">
        <v>1115</v>
      </c>
      <c r="C317" s="679" t="s">
        <v>92</v>
      </c>
      <c r="D317" s="679" t="s">
        <v>98</v>
      </c>
      <c r="E317" s="680" t="s">
        <v>303</v>
      </c>
      <c r="F317" s="681"/>
      <c r="G317" s="682" t="s">
        <v>7</v>
      </c>
      <c r="H317" s="3"/>
    </row>
    <row r="318" spans="1:8" ht="15" customHeight="1">
      <c r="A318" s="690" t="s">
        <v>2090</v>
      </c>
      <c r="B318" s="678" t="s">
        <v>1116</v>
      </c>
      <c r="C318" s="679" t="s">
        <v>92</v>
      </c>
      <c r="D318" s="679" t="s">
        <v>97</v>
      </c>
      <c r="E318" s="680" t="s">
        <v>303</v>
      </c>
      <c r="F318" s="680"/>
      <c r="G318" s="682" t="s">
        <v>963</v>
      </c>
      <c r="H318" s="3"/>
    </row>
    <row r="319" spans="1:8" ht="15" customHeight="1">
      <c r="A319" s="690" t="s">
        <v>2093</v>
      </c>
      <c r="B319" s="678" t="s">
        <v>1117</v>
      </c>
      <c r="C319" s="679" t="s">
        <v>92</v>
      </c>
      <c r="D319" s="679" t="s">
        <v>98</v>
      </c>
      <c r="E319" s="680" t="s">
        <v>303</v>
      </c>
      <c r="F319" s="680"/>
      <c r="G319" s="682" t="e">
        <v>#N/A</v>
      </c>
      <c r="H319" s="3"/>
    </row>
    <row r="320" spans="1:8" ht="15" customHeight="1">
      <c r="A320" s="690" t="s">
        <v>2096</v>
      </c>
      <c r="B320" s="685" t="s">
        <v>1386</v>
      </c>
      <c r="C320" s="679" t="s">
        <v>92</v>
      </c>
      <c r="D320" s="679" t="s">
        <v>97</v>
      </c>
      <c r="E320" s="680" t="s">
        <v>303</v>
      </c>
      <c r="F320" s="680"/>
      <c r="G320" s="680" t="s">
        <v>2</v>
      </c>
      <c r="H320" s="3"/>
    </row>
    <row r="321" spans="1:8" ht="15" customHeight="1">
      <c r="A321" s="690" t="s">
        <v>2099</v>
      </c>
      <c r="B321" s="678" t="s">
        <v>1118</v>
      </c>
      <c r="C321" s="679" t="s">
        <v>92</v>
      </c>
      <c r="D321" s="679" t="s">
        <v>103</v>
      </c>
      <c r="E321" s="680" t="s">
        <v>303</v>
      </c>
      <c r="F321" s="680"/>
      <c r="G321" s="682" t="s">
        <v>1110</v>
      </c>
      <c r="H321" s="3"/>
    </row>
    <row r="322" spans="1:8" ht="15" customHeight="1">
      <c r="A322" s="690" t="s">
        <v>2102</v>
      </c>
      <c r="B322" s="685" t="s">
        <v>1118</v>
      </c>
      <c r="C322" s="679" t="s">
        <v>92</v>
      </c>
      <c r="D322" s="679" t="s">
        <v>102</v>
      </c>
      <c r="E322" s="680" t="s">
        <v>303</v>
      </c>
      <c r="F322" s="680"/>
      <c r="G322" s="682" t="e">
        <v>#N/A</v>
      </c>
      <c r="H322" s="3"/>
    </row>
    <row r="323" spans="1:8" ht="15" customHeight="1">
      <c r="A323" s="690" t="s">
        <v>3895</v>
      </c>
      <c r="B323" s="685" t="s">
        <v>3894</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3385</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3354</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3417</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3386</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3918</v>
      </c>
      <c r="B375" s="685" t="s">
        <v>3917</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3387</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3388</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3389</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3390</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3391</v>
      </c>
      <c r="B459" s="678" t="s">
        <v>1392</v>
      </c>
      <c r="C459" s="679" t="s">
        <v>152</v>
      </c>
      <c r="D459" s="679" t="s">
        <v>214</v>
      </c>
      <c r="E459" s="680" t="s">
        <v>303</v>
      </c>
      <c r="F459" s="680"/>
      <c r="G459" s="680" t="s">
        <v>1154</v>
      </c>
      <c r="H459" s="3"/>
    </row>
    <row r="460" spans="1:8" ht="15" customHeight="1">
      <c r="A460" s="678" t="s">
        <v>3392</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3393</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3394</v>
      </c>
      <c r="B497" s="678" t="s">
        <v>1393</v>
      </c>
      <c r="C497" s="679" t="s">
        <v>161</v>
      </c>
      <c r="D497" s="679" t="s">
        <v>214</v>
      </c>
      <c r="E497" s="680" t="s">
        <v>303</v>
      </c>
      <c r="F497" s="680"/>
      <c r="G497" s="680" t="s">
        <v>1154</v>
      </c>
      <c r="H497" s="3"/>
    </row>
    <row r="498" spans="1:8" ht="15" customHeight="1">
      <c r="A498" s="696" t="s">
        <v>3395</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3396</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3397</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3398</v>
      </c>
      <c r="B537" s="678" t="s">
        <v>1396</v>
      </c>
      <c r="C537" s="679" t="s">
        <v>176</v>
      </c>
      <c r="D537" s="679" t="s">
        <v>214</v>
      </c>
      <c r="E537" s="680" t="s">
        <v>303</v>
      </c>
      <c r="F537" s="680"/>
      <c r="G537" s="680" t="s">
        <v>1154</v>
      </c>
      <c r="H537" s="3"/>
      <c r="K537" s="3"/>
    </row>
    <row r="538" spans="1:29" ht="15" customHeight="1">
      <c r="A538" s="678" t="s">
        <v>3399</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962"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3400</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3401</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3402</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982"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978" t="s">
        <v>1296</v>
      </c>
      <c r="B588" s="978"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978" t="s">
        <v>1300</v>
      </c>
      <c r="B591" s="978"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3345</v>
      </c>
      <c r="B593" s="980" t="s">
        <v>3344</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3347</v>
      </c>
      <c r="B595" s="980" t="s">
        <v>3346</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3403</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3404</v>
      </c>
      <c r="B603" s="679" t="s">
        <v>1403</v>
      </c>
      <c r="C603" s="679" t="s">
        <v>198</v>
      </c>
      <c r="D603" s="679" t="s">
        <v>216</v>
      </c>
      <c r="E603" s="680" t="s">
        <v>303</v>
      </c>
      <c r="F603" s="681"/>
      <c r="G603" s="680" t="s">
        <v>1154</v>
      </c>
      <c r="H603" s="3"/>
    </row>
    <row r="604" spans="1:11" ht="15" customHeight="1">
      <c r="A604" s="698" t="s">
        <v>1315</v>
      </c>
      <c r="B604" s="981" t="s">
        <v>1313</v>
      </c>
      <c r="C604" s="679" t="s">
        <v>198</v>
      </c>
      <c r="D604" s="679" t="s">
        <v>223</v>
      </c>
      <c r="E604" s="680" t="s">
        <v>303</v>
      </c>
      <c r="F604" s="681"/>
      <c r="G604" s="682" t="s">
        <v>1154</v>
      </c>
      <c r="H604" s="3"/>
    </row>
    <row r="605" spans="1:11" ht="15" customHeight="1">
      <c r="A605" s="698" t="s">
        <v>2788</v>
      </c>
      <c r="B605" s="981"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15" t="s">
        <v>3905</v>
      </c>
      <c r="B610" s="1116" t="s">
        <v>3904</v>
      </c>
      <c r="C610" s="679" t="s">
        <v>152</v>
      </c>
      <c r="D610" s="679" t="s">
        <v>153</v>
      </c>
      <c r="E610" s="680" t="s">
        <v>303</v>
      </c>
      <c r="F610" s="681"/>
      <c r="G610" s="680" t="s">
        <v>1110</v>
      </c>
      <c r="H610" s="3"/>
    </row>
    <row r="611" spans="1:8" ht="15" customHeight="1">
      <c r="A611" s="1117" t="s">
        <v>3906</v>
      </c>
      <c r="B611" s="1116"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4 D237: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6" r:id="rId4" xr:uid="{2B003E87-7DD5-4CF8-91E3-A153C1B6AD80}"/>
    <hyperlink ref="A287" r:id="rId5" xr:uid="{A09A5D51-F7B6-4970-80FB-37310E0BBB9D}"/>
    <hyperlink ref="A268" r:id="rId6" xr:uid="{B6A3DC63-CADA-4A8D-915E-9EF10C316FBB}"/>
    <hyperlink ref="A219" r:id="rId7" xr:uid="{3D7AD0D7-3265-469D-B8DD-1CC6DD5CB140}"/>
    <hyperlink ref="A257" r:id="rId8" xr:uid="{6E898DC2-660D-4271-921E-EC496DB18992}"/>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93" t="s">
        <v>251</v>
      </c>
      <c r="B1" s="993" t="s">
        <v>709</v>
      </c>
      <c r="C1" s="994" t="s">
        <v>713</v>
      </c>
      <c r="D1" s="994" t="s">
        <v>714</v>
      </c>
      <c r="E1" s="994" t="s">
        <v>715</v>
      </c>
      <c r="F1" s="993" t="s">
        <v>710</v>
      </c>
      <c r="G1" s="993" t="s">
        <v>711</v>
      </c>
      <c r="H1" s="993" t="s">
        <v>712</v>
      </c>
      <c r="I1" s="994" t="s">
        <v>3411</v>
      </c>
      <c r="J1" s="994" t="s">
        <v>3412</v>
      </c>
      <c r="K1" s="994"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5" t="s">
        <v>720</v>
      </c>
      <c r="B2" s="995" t="s">
        <v>1438</v>
      </c>
      <c r="C2" s="996"/>
      <c r="D2" s="996"/>
      <c r="E2" s="996"/>
      <c r="F2" s="995" t="s">
        <v>2</v>
      </c>
      <c r="G2" s="995" t="s">
        <v>3321</v>
      </c>
      <c r="H2" s="996"/>
      <c r="I2" s="997">
        <v>116061</v>
      </c>
      <c r="J2" s="997">
        <v>0</v>
      </c>
      <c r="K2" s="997">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5" t="s">
        <v>721</v>
      </c>
      <c r="B3" s="995" t="s">
        <v>1638</v>
      </c>
      <c r="C3" s="996"/>
      <c r="D3" s="996"/>
      <c r="E3" s="996"/>
      <c r="F3" s="995" t="s">
        <v>2</v>
      </c>
      <c r="G3" s="995" t="s">
        <v>3321</v>
      </c>
      <c r="H3" s="996"/>
      <c r="I3" s="997">
        <v>81087.95</v>
      </c>
      <c r="J3" s="997">
        <v>0</v>
      </c>
      <c r="K3" s="997">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5" t="s">
        <v>722</v>
      </c>
      <c r="B4" s="995" t="s">
        <v>748</v>
      </c>
      <c r="C4" s="996"/>
      <c r="D4" s="996"/>
      <c r="E4" s="996"/>
      <c r="F4" s="995" t="s">
        <v>2</v>
      </c>
      <c r="G4" s="995" t="s">
        <v>3321</v>
      </c>
      <c r="H4" s="996"/>
      <c r="I4" s="997">
        <v>198702.43</v>
      </c>
      <c r="J4" s="997">
        <v>0</v>
      </c>
      <c r="K4" s="997">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5" t="s">
        <v>723</v>
      </c>
      <c r="B5" s="995" t="s">
        <v>761</v>
      </c>
      <c r="C5" s="996"/>
      <c r="D5" s="996"/>
      <c r="E5" s="996"/>
      <c r="F5" s="995" t="s">
        <v>2</v>
      </c>
      <c r="G5" s="995" t="s">
        <v>3321</v>
      </c>
      <c r="H5" s="996"/>
      <c r="I5" s="997">
        <v>148007</v>
      </c>
      <c r="J5" s="997">
        <v>0</v>
      </c>
      <c r="K5" s="997">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5" t="s">
        <v>724</v>
      </c>
      <c r="B6" s="995" t="s">
        <v>785</v>
      </c>
      <c r="C6" s="996"/>
      <c r="D6" s="996"/>
      <c r="E6" s="996"/>
      <c r="F6" s="995" t="s">
        <v>2</v>
      </c>
      <c r="G6" s="995" t="s">
        <v>3321</v>
      </c>
      <c r="H6" s="996"/>
      <c r="I6" s="997">
        <v>213696.9</v>
      </c>
      <c r="J6" s="997">
        <v>0</v>
      </c>
      <c r="K6" s="997">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5" t="s">
        <v>725</v>
      </c>
      <c r="B7" s="995" t="s">
        <v>2240</v>
      </c>
      <c r="C7" s="996"/>
      <c r="D7" s="996"/>
      <c r="E7" s="996"/>
      <c r="F7" s="995" t="s">
        <v>2</v>
      </c>
      <c r="G7" s="995" t="s">
        <v>3321</v>
      </c>
      <c r="H7" s="996"/>
      <c r="I7" s="997">
        <v>260095.67</v>
      </c>
      <c r="J7" s="997">
        <v>0</v>
      </c>
      <c r="K7" s="997">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5" t="s">
        <v>726</v>
      </c>
      <c r="B8" s="995" t="s">
        <v>2742</v>
      </c>
      <c r="C8" s="996"/>
      <c r="D8" s="996"/>
      <c r="E8" s="996"/>
      <c r="F8" s="995" t="s">
        <v>2</v>
      </c>
      <c r="G8" s="995" t="s">
        <v>3321</v>
      </c>
      <c r="H8" s="996"/>
      <c r="I8" s="997">
        <v>247076.44</v>
      </c>
      <c r="J8" s="997">
        <v>0</v>
      </c>
      <c r="K8" s="997">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5" t="s">
        <v>727</v>
      </c>
      <c r="B9" s="995" t="s">
        <v>2745</v>
      </c>
      <c r="C9" s="996"/>
      <c r="D9" s="996"/>
      <c r="E9" s="996"/>
      <c r="F9" s="995" t="s">
        <v>2</v>
      </c>
      <c r="G9" s="995" t="s">
        <v>3321</v>
      </c>
      <c r="H9" s="996"/>
      <c r="I9" s="997">
        <v>342752.56</v>
      </c>
      <c r="J9" s="997">
        <v>0</v>
      </c>
      <c r="K9" s="997">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5" t="s">
        <v>728</v>
      </c>
      <c r="B10" s="995" t="s">
        <v>2748</v>
      </c>
      <c r="C10" s="996"/>
      <c r="D10" s="996"/>
      <c r="E10" s="996"/>
      <c r="F10" s="995" t="s">
        <v>2</v>
      </c>
      <c r="G10" s="995" t="s">
        <v>3321</v>
      </c>
      <c r="H10" s="996"/>
      <c r="I10" s="997">
        <v>186502.97</v>
      </c>
      <c r="J10" s="997">
        <v>0</v>
      </c>
      <c r="K10" s="997">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5" t="s">
        <v>729</v>
      </c>
      <c r="B11" s="995" t="s">
        <v>1441</v>
      </c>
      <c r="C11" s="996"/>
      <c r="D11" s="996"/>
      <c r="E11" s="996"/>
      <c r="F11" s="995" t="s">
        <v>2</v>
      </c>
      <c r="G11" s="995" t="s">
        <v>3321</v>
      </c>
      <c r="H11" s="996"/>
      <c r="I11" s="997">
        <v>202788.53</v>
      </c>
      <c r="J11" s="997">
        <v>0</v>
      </c>
      <c r="K11" s="997">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5" t="s">
        <v>730</v>
      </c>
      <c r="B12" s="995" t="s">
        <v>1444</v>
      </c>
      <c r="C12" s="996"/>
      <c r="D12" s="996"/>
      <c r="E12" s="996"/>
      <c r="F12" s="995" t="s">
        <v>2</v>
      </c>
      <c r="G12" s="995" t="s">
        <v>3321</v>
      </c>
      <c r="H12" s="996"/>
      <c r="I12" s="997">
        <v>222887.14</v>
      </c>
      <c r="J12" s="997">
        <v>0</v>
      </c>
      <c r="K12" s="997">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5" t="s">
        <v>731</v>
      </c>
      <c r="B13" s="995" t="s">
        <v>3351</v>
      </c>
      <c r="C13" s="996"/>
      <c r="D13" s="996"/>
      <c r="E13" s="996"/>
      <c r="F13" s="995" t="s">
        <v>2</v>
      </c>
      <c r="G13" s="995" t="s">
        <v>3321</v>
      </c>
      <c r="H13" s="996"/>
      <c r="I13" s="997">
        <v>0</v>
      </c>
      <c r="J13" s="997">
        <v>-43030.16</v>
      </c>
      <c r="K13" s="997">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5" t="s">
        <v>732</v>
      </c>
      <c r="B14" s="995" t="s">
        <v>1674</v>
      </c>
      <c r="C14" s="996"/>
      <c r="D14" s="996"/>
      <c r="E14" s="996"/>
      <c r="F14" s="995" t="s">
        <v>2</v>
      </c>
      <c r="G14" s="995" t="s">
        <v>3322</v>
      </c>
      <c r="H14" s="996"/>
      <c r="I14" s="997">
        <v>6.63</v>
      </c>
      <c r="J14" s="997">
        <v>0.41</v>
      </c>
      <c r="K14" s="997">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5" t="s">
        <v>733</v>
      </c>
      <c r="B15" s="995" t="s">
        <v>1690</v>
      </c>
      <c r="C15" s="996"/>
      <c r="D15" s="996"/>
      <c r="E15" s="996"/>
      <c r="F15" s="995" t="s">
        <v>2</v>
      </c>
      <c r="G15" s="995" t="s">
        <v>3322</v>
      </c>
      <c r="H15" s="996"/>
      <c r="I15" s="997">
        <v>100.49</v>
      </c>
      <c r="J15" s="997">
        <v>7.1</v>
      </c>
      <c r="K15" s="997">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5" t="s">
        <v>734</v>
      </c>
      <c r="B16" s="995" t="s">
        <v>1698</v>
      </c>
      <c r="C16" s="996"/>
      <c r="D16" s="996"/>
      <c r="E16" s="996"/>
      <c r="F16" s="995" t="s">
        <v>2</v>
      </c>
      <c r="G16" s="995" t="s">
        <v>3322</v>
      </c>
      <c r="H16" s="996"/>
      <c r="I16" s="997">
        <v>195.46</v>
      </c>
      <c r="J16" s="997">
        <v>15.69</v>
      </c>
      <c r="K16" s="997">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5" t="s">
        <v>735</v>
      </c>
      <c r="B17" s="995" t="s">
        <v>1710</v>
      </c>
      <c r="C17" s="996"/>
      <c r="D17" s="996"/>
      <c r="E17" s="996"/>
      <c r="F17" s="995" t="s">
        <v>2</v>
      </c>
      <c r="G17" s="995" t="s">
        <v>3322</v>
      </c>
      <c r="H17" s="996"/>
      <c r="I17" s="997">
        <v>194.4</v>
      </c>
      <c r="J17" s="997">
        <v>15.8</v>
      </c>
      <c r="K17" s="997">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5" t="s">
        <v>736</v>
      </c>
      <c r="B18" s="995" t="s">
        <v>1713</v>
      </c>
      <c r="C18" s="996"/>
      <c r="D18" s="996"/>
      <c r="E18" s="996"/>
      <c r="F18" s="995" t="s">
        <v>2</v>
      </c>
      <c r="G18" s="995" t="s">
        <v>3322</v>
      </c>
      <c r="H18" s="996"/>
      <c r="I18" s="997">
        <v>221.17</v>
      </c>
      <c r="J18" s="997">
        <v>16.760000000000002</v>
      </c>
      <c r="K18" s="997">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5" t="s">
        <v>3657</v>
      </c>
      <c r="B19" s="995" t="s">
        <v>1718</v>
      </c>
      <c r="C19" s="996"/>
      <c r="D19" s="996"/>
      <c r="E19" s="996"/>
      <c r="F19" s="995" t="s">
        <v>2</v>
      </c>
      <c r="G19" s="995" t="s">
        <v>3323</v>
      </c>
      <c r="H19" s="996"/>
      <c r="I19" s="997">
        <v>134.94999999999999</v>
      </c>
      <c r="J19" s="997">
        <v>0</v>
      </c>
      <c r="K19" s="997">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5" t="s">
        <v>3658</v>
      </c>
      <c r="B20" s="995" t="s">
        <v>1721</v>
      </c>
      <c r="C20" s="996"/>
      <c r="D20" s="996"/>
      <c r="E20" s="996"/>
      <c r="F20" s="995" t="s">
        <v>2</v>
      </c>
      <c r="G20" s="995" t="s">
        <v>3323</v>
      </c>
      <c r="H20" s="996"/>
      <c r="I20" s="997">
        <v>123.64</v>
      </c>
      <c r="J20" s="997">
        <v>0</v>
      </c>
      <c r="K20" s="997">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5" t="s">
        <v>3659</v>
      </c>
      <c r="B21" s="995" t="s">
        <v>1724</v>
      </c>
      <c r="C21" s="996"/>
      <c r="D21" s="996"/>
      <c r="E21" s="996"/>
      <c r="F21" s="995" t="s">
        <v>2</v>
      </c>
      <c r="G21" s="995" t="s">
        <v>3323</v>
      </c>
      <c r="H21" s="996"/>
      <c r="I21" s="997">
        <v>134.94999999999999</v>
      </c>
      <c r="J21" s="997">
        <v>0</v>
      </c>
      <c r="K21" s="997">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5" t="s">
        <v>3660</v>
      </c>
      <c r="B22" s="995" t="s">
        <v>1727</v>
      </c>
      <c r="C22" s="996"/>
      <c r="D22" s="996"/>
      <c r="E22" s="996"/>
      <c r="F22" s="995" t="s">
        <v>2</v>
      </c>
      <c r="G22" s="995" t="s">
        <v>3323</v>
      </c>
      <c r="H22" s="996"/>
      <c r="I22" s="997">
        <v>65</v>
      </c>
      <c r="J22" s="997">
        <v>0</v>
      </c>
      <c r="K22" s="997">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5" t="s">
        <v>741</v>
      </c>
      <c r="B23" s="995" t="s">
        <v>742</v>
      </c>
      <c r="C23" s="996"/>
      <c r="D23" s="996"/>
      <c r="E23" s="996"/>
      <c r="F23" s="995" t="s">
        <v>2</v>
      </c>
      <c r="G23" s="995" t="s">
        <v>742</v>
      </c>
      <c r="H23" s="996"/>
      <c r="I23" s="997">
        <v>0.08</v>
      </c>
      <c r="J23" s="997">
        <v>0</v>
      </c>
      <c r="K23" s="997">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5" t="s">
        <v>3661</v>
      </c>
      <c r="B24" s="995" t="s">
        <v>744</v>
      </c>
      <c r="C24" s="996"/>
      <c r="D24" s="996"/>
      <c r="E24" s="996"/>
      <c r="F24" s="995" t="s">
        <v>2</v>
      </c>
      <c r="G24" s="995" t="s">
        <v>744</v>
      </c>
      <c r="H24" s="996"/>
      <c r="I24" s="997">
        <v>10846.7</v>
      </c>
      <c r="J24" s="997">
        <v>869.43</v>
      </c>
      <c r="K24" s="997">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5" t="s">
        <v>3662</v>
      </c>
      <c r="B25" s="995" t="s">
        <v>1750</v>
      </c>
      <c r="C25" s="996"/>
      <c r="D25" s="996"/>
      <c r="E25" s="996"/>
      <c r="F25" s="995" t="s">
        <v>2</v>
      </c>
      <c r="G25" s="995" t="s">
        <v>744</v>
      </c>
      <c r="H25" s="996"/>
      <c r="I25" s="997">
        <v>4067.18</v>
      </c>
      <c r="J25" s="997">
        <v>317.7</v>
      </c>
      <c r="K25" s="997">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5" t="s">
        <v>3663</v>
      </c>
      <c r="B26" s="995" t="s">
        <v>1753</v>
      </c>
      <c r="C26" s="996"/>
      <c r="D26" s="996"/>
      <c r="E26" s="996"/>
      <c r="F26" s="995" t="s">
        <v>2</v>
      </c>
      <c r="G26" s="995" t="s">
        <v>744</v>
      </c>
      <c r="H26" s="996"/>
      <c r="I26" s="997">
        <v>4526.6099999999997</v>
      </c>
      <c r="J26" s="997">
        <v>393.3</v>
      </c>
      <c r="K26" s="997">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5" t="s">
        <v>747</v>
      </c>
      <c r="B27" s="995" t="s">
        <v>1763</v>
      </c>
      <c r="C27" s="996"/>
      <c r="D27" s="996"/>
      <c r="E27" s="996"/>
      <c r="F27" s="995" t="s">
        <v>2</v>
      </c>
      <c r="G27" s="995" t="s">
        <v>748</v>
      </c>
      <c r="H27" s="996"/>
      <c r="I27" s="997">
        <v>-59153.9</v>
      </c>
      <c r="J27" s="997">
        <v>-5635.67</v>
      </c>
      <c r="K27" s="997">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5" t="s">
        <v>749</v>
      </c>
      <c r="B28" s="995" t="s">
        <v>1774</v>
      </c>
      <c r="C28" s="996"/>
      <c r="D28" s="996"/>
      <c r="E28" s="996"/>
      <c r="F28" s="995" t="s">
        <v>2</v>
      </c>
      <c r="G28" s="995" t="s">
        <v>748</v>
      </c>
      <c r="H28" s="996"/>
      <c r="I28" s="997">
        <v>252014.04</v>
      </c>
      <c r="J28" s="997">
        <v>52287.59</v>
      </c>
      <c r="K28" s="997">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5" t="s">
        <v>750</v>
      </c>
      <c r="B29" s="995" t="s">
        <v>1777</v>
      </c>
      <c r="C29" s="996"/>
      <c r="D29" s="996"/>
      <c r="E29" s="996"/>
      <c r="F29" s="995" t="s">
        <v>2</v>
      </c>
      <c r="G29" s="995" t="s">
        <v>748</v>
      </c>
      <c r="H29" s="996"/>
      <c r="I29" s="997">
        <v>205860.44</v>
      </c>
      <c r="J29" s="997">
        <v>0</v>
      </c>
      <c r="K29" s="997">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5" t="s">
        <v>751</v>
      </c>
      <c r="B30" s="995" t="s">
        <v>1780</v>
      </c>
      <c r="C30" s="996"/>
      <c r="D30" s="996"/>
      <c r="E30" s="996"/>
      <c r="F30" s="995" t="s">
        <v>2</v>
      </c>
      <c r="G30" s="995" t="s">
        <v>748</v>
      </c>
      <c r="H30" s="996"/>
      <c r="I30" s="997">
        <v>-29803.37</v>
      </c>
      <c r="J30" s="997">
        <v>-19709.400000000001</v>
      </c>
      <c r="K30" s="997">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5" t="s">
        <v>752</v>
      </c>
      <c r="B31" s="995" t="s">
        <v>1783</v>
      </c>
      <c r="C31" s="996"/>
      <c r="D31" s="996"/>
      <c r="E31" s="996"/>
      <c r="F31" s="995" t="s">
        <v>2</v>
      </c>
      <c r="G31" s="995" t="s">
        <v>3324</v>
      </c>
      <c r="H31" s="996"/>
      <c r="I31" s="997">
        <v>-103418.86</v>
      </c>
      <c r="J31" s="997">
        <v>-27590.15</v>
      </c>
      <c r="K31" s="997">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5" t="s">
        <v>753</v>
      </c>
      <c r="B32" s="995" t="s">
        <v>1786</v>
      </c>
      <c r="C32" s="996"/>
      <c r="D32" s="996"/>
      <c r="E32" s="996"/>
      <c r="F32" s="995" t="s">
        <v>2</v>
      </c>
      <c r="G32" s="995" t="s">
        <v>3324</v>
      </c>
      <c r="H32" s="996"/>
      <c r="I32" s="997">
        <v>161196.84</v>
      </c>
      <c r="J32" s="997">
        <v>32051.62</v>
      </c>
      <c r="K32" s="997">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5" t="s">
        <v>754</v>
      </c>
      <c r="B33" s="995" t="s">
        <v>1789</v>
      </c>
      <c r="C33" s="996"/>
      <c r="D33" s="996"/>
      <c r="E33" s="996"/>
      <c r="F33" s="995" t="s">
        <v>2</v>
      </c>
      <c r="G33" s="995" t="s">
        <v>3324</v>
      </c>
      <c r="H33" s="996"/>
      <c r="I33" s="997">
        <v>431440.53</v>
      </c>
      <c r="J33" s="997">
        <v>4077.44</v>
      </c>
      <c r="K33" s="997">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5" t="s">
        <v>755</v>
      </c>
      <c r="B34" s="995" t="s">
        <v>1792</v>
      </c>
      <c r="C34" s="996"/>
      <c r="D34" s="996"/>
      <c r="E34" s="996"/>
      <c r="F34" s="995" t="s">
        <v>2</v>
      </c>
      <c r="G34" s="995" t="s">
        <v>3324</v>
      </c>
      <c r="H34" s="996"/>
      <c r="I34" s="997">
        <v>-108476.78</v>
      </c>
      <c r="J34" s="997">
        <v>-34124.26</v>
      </c>
      <c r="K34" s="997">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5" t="s">
        <v>756</v>
      </c>
      <c r="B35" s="995" t="s">
        <v>1798</v>
      </c>
      <c r="C35" s="996"/>
      <c r="D35" s="996"/>
      <c r="E35" s="996"/>
      <c r="F35" s="995" t="s">
        <v>2</v>
      </c>
      <c r="G35" s="995" t="s">
        <v>3325</v>
      </c>
      <c r="H35" s="996"/>
      <c r="I35" s="997">
        <v>1.88</v>
      </c>
      <c r="J35" s="997">
        <v>0.13</v>
      </c>
      <c r="K35" s="997">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5" t="s">
        <v>757</v>
      </c>
      <c r="B36" s="995" t="s">
        <v>1801</v>
      </c>
      <c r="C36" s="996"/>
      <c r="D36" s="996"/>
      <c r="E36" s="996"/>
      <c r="F36" s="995" t="s">
        <v>2</v>
      </c>
      <c r="G36" s="995" t="s">
        <v>3326</v>
      </c>
      <c r="H36" s="996"/>
      <c r="I36" s="997">
        <v>5170572.37</v>
      </c>
      <c r="J36" s="997">
        <v>348236.13</v>
      </c>
      <c r="K36" s="997">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5" t="s">
        <v>758</v>
      </c>
      <c r="B37" s="995" t="s">
        <v>1804</v>
      </c>
      <c r="C37" s="996"/>
      <c r="D37" s="996"/>
      <c r="E37" s="996"/>
      <c r="F37" s="995" t="s">
        <v>2</v>
      </c>
      <c r="G37" s="995" t="s">
        <v>3327</v>
      </c>
      <c r="H37" s="996"/>
      <c r="I37" s="997">
        <v>425000</v>
      </c>
      <c r="J37" s="997">
        <v>0</v>
      </c>
      <c r="K37" s="997">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5" t="s">
        <v>759</v>
      </c>
      <c r="B38" s="995" t="s">
        <v>1807</v>
      </c>
      <c r="C38" s="996"/>
      <c r="D38" s="996"/>
      <c r="E38" s="996"/>
      <c r="F38" s="995" t="s">
        <v>2</v>
      </c>
      <c r="G38" s="995" t="s">
        <v>3327</v>
      </c>
      <c r="H38" s="996"/>
      <c r="I38" s="997">
        <v>737500</v>
      </c>
      <c r="J38" s="997">
        <v>0</v>
      </c>
      <c r="K38" s="997">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5" t="s">
        <v>760</v>
      </c>
      <c r="B39" s="995" t="s">
        <v>1812</v>
      </c>
      <c r="C39" s="996"/>
      <c r="D39" s="996"/>
      <c r="E39" s="996"/>
      <c r="F39" s="995" t="s">
        <v>2</v>
      </c>
      <c r="G39" s="995" t="s">
        <v>761</v>
      </c>
      <c r="H39" s="996"/>
      <c r="I39" s="997">
        <v>0.47</v>
      </c>
      <c r="J39" s="997">
        <v>0</v>
      </c>
      <c r="K39" s="997">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5" t="s">
        <v>762</v>
      </c>
      <c r="B40" s="995" t="s">
        <v>1815</v>
      </c>
      <c r="C40" s="996"/>
      <c r="D40" s="996"/>
      <c r="E40" s="996"/>
      <c r="F40" s="995" t="s">
        <v>2</v>
      </c>
      <c r="G40" s="995" t="s">
        <v>761</v>
      </c>
      <c r="H40" s="996"/>
      <c r="I40" s="997">
        <v>0.26</v>
      </c>
      <c r="J40" s="997">
        <v>0</v>
      </c>
      <c r="K40" s="997">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5" t="s">
        <v>763</v>
      </c>
      <c r="B41" s="995" t="s">
        <v>1818</v>
      </c>
      <c r="C41" s="996"/>
      <c r="D41" s="996"/>
      <c r="E41" s="996"/>
      <c r="F41" s="995" t="s">
        <v>2</v>
      </c>
      <c r="G41" s="995" t="s">
        <v>761</v>
      </c>
      <c r="H41" s="996"/>
      <c r="I41" s="997">
        <v>0.28999999999999998</v>
      </c>
      <c r="J41" s="997">
        <v>0</v>
      </c>
      <c r="K41" s="997">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5" t="s">
        <v>764</v>
      </c>
      <c r="B42" s="995" t="s">
        <v>1821</v>
      </c>
      <c r="C42" s="996"/>
      <c r="D42" s="996"/>
      <c r="E42" s="996"/>
      <c r="F42" s="995" t="s">
        <v>2</v>
      </c>
      <c r="G42" s="995" t="s">
        <v>761</v>
      </c>
      <c r="H42" s="996"/>
      <c r="I42" s="997">
        <v>0.33</v>
      </c>
      <c r="J42" s="997">
        <v>0</v>
      </c>
      <c r="K42" s="997">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5" t="s">
        <v>765</v>
      </c>
      <c r="B43" s="995" t="s">
        <v>1824</v>
      </c>
      <c r="C43" s="996"/>
      <c r="D43" s="996"/>
      <c r="E43" s="996"/>
      <c r="F43" s="995" t="s">
        <v>2</v>
      </c>
      <c r="G43" s="995" t="s">
        <v>761</v>
      </c>
      <c r="H43" s="996"/>
      <c r="I43" s="997">
        <v>0.46</v>
      </c>
      <c r="J43" s="997">
        <v>0</v>
      </c>
      <c r="K43" s="997">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5" t="s">
        <v>766</v>
      </c>
      <c r="B44" s="995" t="s">
        <v>1827</v>
      </c>
      <c r="C44" s="996"/>
      <c r="D44" s="996"/>
      <c r="E44" s="996"/>
      <c r="F44" s="995" t="s">
        <v>2</v>
      </c>
      <c r="G44" s="995" t="s">
        <v>761</v>
      </c>
      <c r="H44" s="996"/>
      <c r="I44" s="997">
        <v>0.56000000000000005</v>
      </c>
      <c r="J44" s="997">
        <v>0</v>
      </c>
      <c r="K44" s="997">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5" t="s">
        <v>767</v>
      </c>
      <c r="B45" s="995" t="s">
        <v>1830</v>
      </c>
      <c r="C45" s="996"/>
      <c r="D45" s="996"/>
      <c r="E45" s="996"/>
      <c r="F45" s="995" t="s">
        <v>2</v>
      </c>
      <c r="G45" s="995" t="s">
        <v>761</v>
      </c>
      <c r="H45" s="996"/>
      <c r="I45" s="997">
        <v>0.55000000000000004</v>
      </c>
      <c r="J45" s="997">
        <v>0</v>
      </c>
      <c r="K45" s="997">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5" t="s">
        <v>768</v>
      </c>
      <c r="B46" s="995" t="s">
        <v>1833</v>
      </c>
      <c r="C46" s="996"/>
      <c r="D46" s="996"/>
      <c r="E46" s="996"/>
      <c r="F46" s="995" t="s">
        <v>2</v>
      </c>
      <c r="G46" s="995" t="s">
        <v>761</v>
      </c>
      <c r="H46" s="996"/>
      <c r="I46" s="997">
        <v>0.77</v>
      </c>
      <c r="J46" s="997">
        <v>0</v>
      </c>
      <c r="K46" s="997">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5" t="s">
        <v>769</v>
      </c>
      <c r="B47" s="995" t="s">
        <v>1836</v>
      </c>
      <c r="C47" s="996"/>
      <c r="D47" s="996"/>
      <c r="E47" s="996"/>
      <c r="F47" s="995" t="s">
        <v>2</v>
      </c>
      <c r="G47" s="995" t="s">
        <v>761</v>
      </c>
      <c r="H47" s="996"/>
      <c r="I47" s="997">
        <v>0.53</v>
      </c>
      <c r="J47" s="997">
        <v>0</v>
      </c>
      <c r="K47" s="997">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5" t="s">
        <v>770</v>
      </c>
      <c r="B48" s="995" t="s">
        <v>1839</v>
      </c>
      <c r="C48" s="996"/>
      <c r="D48" s="996"/>
      <c r="E48" s="996"/>
      <c r="F48" s="995" t="s">
        <v>2</v>
      </c>
      <c r="G48" s="995" t="s">
        <v>761</v>
      </c>
      <c r="H48" s="996"/>
      <c r="I48" s="997">
        <v>0.53</v>
      </c>
      <c r="J48" s="997">
        <v>0</v>
      </c>
      <c r="K48" s="997">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5" t="s">
        <v>771</v>
      </c>
      <c r="B49" s="995" t="s">
        <v>978</v>
      </c>
      <c r="C49" s="996"/>
      <c r="D49" s="996"/>
      <c r="E49" s="996"/>
      <c r="F49" s="995" t="s">
        <v>2</v>
      </c>
      <c r="G49" s="995" t="s">
        <v>761</v>
      </c>
      <c r="H49" s="996"/>
      <c r="I49" s="997">
        <v>0.42</v>
      </c>
      <c r="J49" s="997">
        <v>0</v>
      </c>
      <c r="K49" s="997">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5" t="s">
        <v>772</v>
      </c>
      <c r="B50" s="995" t="s">
        <v>3352</v>
      </c>
      <c r="C50" s="996"/>
      <c r="D50" s="996"/>
      <c r="E50" s="996"/>
      <c r="F50" s="995" t="s">
        <v>2</v>
      </c>
      <c r="G50" s="995" t="s">
        <v>761</v>
      </c>
      <c r="H50" s="996"/>
      <c r="I50" s="997">
        <v>0</v>
      </c>
      <c r="J50" s="997">
        <v>0.37</v>
      </c>
      <c r="K50" s="997">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5" t="s">
        <v>773</v>
      </c>
      <c r="B51" s="995" t="s">
        <v>1905</v>
      </c>
      <c r="C51" s="996"/>
      <c r="D51" s="996"/>
      <c r="E51" s="996"/>
      <c r="F51" s="995" t="s">
        <v>2</v>
      </c>
      <c r="G51" s="995" t="s">
        <v>3328</v>
      </c>
      <c r="H51" s="996"/>
      <c r="I51" s="997">
        <v>0.18</v>
      </c>
      <c r="J51" s="997">
        <v>0</v>
      </c>
      <c r="K51" s="997">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5" t="s">
        <v>774</v>
      </c>
      <c r="B52" s="995" t="s">
        <v>1912</v>
      </c>
      <c r="C52" s="996"/>
      <c r="D52" s="996"/>
      <c r="E52" s="996"/>
      <c r="F52" s="995" t="s">
        <v>2</v>
      </c>
      <c r="G52" s="995" t="s">
        <v>3328</v>
      </c>
      <c r="H52" s="996"/>
      <c r="I52" s="997">
        <v>0.34</v>
      </c>
      <c r="J52" s="997">
        <v>0</v>
      </c>
      <c r="K52" s="997">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5" t="s">
        <v>775</v>
      </c>
      <c r="B53" s="995" t="s">
        <v>1915</v>
      </c>
      <c r="C53" s="996"/>
      <c r="D53" s="996"/>
      <c r="E53" s="996"/>
      <c r="F53" s="995" t="s">
        <v>2</v>
      </c>
      <c r="G53" s="995" t="s">
        <v>3328</v>
      </c>
      <c r="H53" s="996"/>
      <c r="I53" s="997">
        <v>0.42</v>
      </c>
      <c r="J53" s="997">
        <v>0</v>
      </c>
      <c r="K53" s="997">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5" t="s">
        <v>776</v>
      </c>
      <c r="B54" s="995" t="s">
        <v>1918</v>
      </c>
      <c r="C54" s="996"/>
      <c r="D54" s="996"/>
      <c r="E54" s="996"/>
      <c r="F54" s="995" t="s">
        <v>2</v>
      </c>
      <c r="G54" s="995" t="s">
        <v>3328</v>
      </c>
      <c r="H54" s="996"/>
      <c r="I54" s="997">
        <v>0.31</v>
      </c>
      <c r="J54" s="997">
        <v>0</v>
      </c>
      <c r="K54" s="997">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5" t="s">
        <v>777</v>
      </c>
      <c r="B55" s="995" t="s">
        <v>1921</v>
      </c>
      <c r="C55" s="996"/>
      <c r="D55" s="996"/>
      <c r="E55" s="996"/>
      <c r="F55" s="995" t="s">
        <v>2</v>
      </c>
      <c r="G55" s="995" t="s">
        <v>3328</v>
      </c>
      <c r="H55" s="996"/>
      <c r="I55" s="997">
        <v>0.32</v>
      </c>
      <c r="J55" s="997">
        <v>0</v>
      </c>
      <c r="K55" s="997">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5" t="s">
        <v>778</v>
      </c>
      <c r="B56" s="995" t="s">
        <v>1924</v>
      </c>
      <c r="C56" s="996"/>
      <c r="D56" s="996"/>
      <c r="E56" s="996"/>
      <c r="F56" s="995" t="s">
        <v>2</v>
      </c>
      <c r="G56" s="995" t="s">
        <v>3328</v>
      </c>
      <c r="H56" s="996"/>
      <c r="I56" s="997">
        <v>0.36</v>
      </c>
      <c r="J56" s="997">
        <v>0</v>
      </c>
      <c r="K56" s="997">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5" t="s">
        <v>779</v>
      </c>
      <c r="B57" s="995" t="s">
        <v>1927</v>
      </c>
      <c r="C57" s="996"/>
      <c r="D57" s="996"/>
      <c r="E57" s="996"/>
      <c r="F57" s="995" t="s">
        <v>2</v>
      </c>
      <c r="G57" s="995" t="s">
        <v>3328</v>
      </c>
      <c r="H57" s="996"/>
      <c r="I57" s="997">
        <v>0.39</v>
      </c>
      <c r="J57" s="997">
        <v>0</v>
      </c>
      <c r="K57" s="997">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5" t="s">
        <v>780</v>
      </c>
      <c r="B58" s="995" t="s">
        <v>1930</v>
      </c>
      <c r="C58" s="996"/>
      <c r="D58" s="996"/>
      <c r="E58" s="996"/>
      <c r="F58" s="995" t="s">
        <v>2</v>
      </c>
      <c r="G58" s="995" t="s">
        <v>3328</v>
      </c>
      <c r="H58" s="996"/>
      <c r="I58" s="997">
        <v>0.37</v>
      </c>
      <c r="J58" s="997">
        <v>0</v>
      </c>
      <c r="K58" s="997">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5" t="s">
        <v>781</v>
      </c>
      <c r="B59" s="995" t="s">
        <v>1939</v>
      </c>
      <c r="C59" s="996"/>
      <c r="D59" s="996"/>
      <c r="E59" s="996"/>
      <c r="F59" s="995" t="s">
        <v>2</v>
      </c>
      <c r="G59" s="995" t="s">
        <v>3328</v>
      </c>
      <c r="H59" s="996"/>
      <c r="I59" s="997">
        <v>0.34</v>
      </c>
      <c r="J59" s="997">
        <v>0</v>
      </c>
      <c r="K59" s="997">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5" t="s">
        <v>782</v>
      </c>
      <c r="B60" s="995" t="s">
        <v>1947</v>
      </c>
      <c r="C60" s="996"/>
      <c r="D60" s="996"/>
      <c r="E60" s="996"/>
      <c r="F60" s="995" t="s">
        <v>2</v>
      </c>
      <c r="G60" s="995" t="s">
        <v>3328</v>
      </c>
      <c r="H60" s="996"/>
      <c r="I60" s="997">
        <v>0.26</v>
      </c>
      <c r="J60" s="997">
        <v>0</v>
      </c>
      <c r="K60" s="997">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5" t="s">
        <v>783</v>
      </c>
      <c r="B61" s="995" t="s">
        <v>1950</v>
      </c>
      <c r="C61" s="996"/>
      <c r="D61" s="996"/>
      <c r="E61" s="996"/>
      <c r="F61" s="995" t="s">
        <v>2</v>
      </c>
      <c r="G61" s="995" t="s">
        <v>3328</v>
      </c>
      <c r="H61" s="996"/>
      <c r="I61" s="997">
        <v>0.27</v>
      </c>
      <c r="J61" s="997">
        <v>0</v>
      </c>
      <c r="K61" s="997">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5" t="s">
        <v>3664</v>
      </c>
      <c r="B62" s="995" t="s">
        <v>3353</v>
      </c>
      <c r="C62" s="996"/>
      <c r="D62" s="996"/>
      <c r="E62" s="996"/>
      <c r="F62" s="995" t="s">
        <v>2</v>
      </c>
      <c r="G62" s="995" t="s">
        <v>3328</v>
      </c>
      <c r="H62" s="996"/>
      <c r="I62" s="997">
        <v>0</v>
      </c>
      <c r="J62" s="997">
        <v>0.25</v>
      </c>
      <c r="K62" s="997">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5" t="s">
        <v>784</v>
      </c>
      <c r="B63" s="995" t="s">
        <v>2055</v>
      </c>
      <c r="C63" s="996"/>
      <c r="D63" s="996"/>
      <c r="E63" s="996"/>
      <c r="F63" s="995" t="s">
        <v>2</v>
      </c>
      <c r="G63" s="995" t="s">
        <v>785</v>
      </c>
      <c r="H63" s="996"/>
      <c r="I63" s="997">
        <v>1</v>
      </c>
      <c r="J63" s="997">
        <v>0</v>
      </c>
      <c r="K63" s="997">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5" t="s">
        <v>786</v>
      </c>
      <c r="B64" s="995" t="s">
        <v>1113</v>
      </c>
      <c r="C64" s="996"/>
      <c r="D64" s="996"/>
      <c r="E64" s="996"/>
      <c r="F64" s="995" t="s">
        <v>2</v>
      </c>
      <c r="G64" s="995" t="s">
        <v>785</v>
      </c>
      <c r="H64" s="996"/>
      <c r="I64" s="997">
        <v>0.5</v>
      </c>
      <c r="J64" s="997">
        <v>0</v>
      </c>
      <c r="K64" s="997">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5" t="s">
        <v>787</v>
      </c>
      <c r="B65" s="995" t="s">
        <v>2087</v>
      </c>
      <c r="C65" s="996"/>
      <c r="D65" s="996"/>
      <c r="E65" s="996"/>
      <c r="F65" s="995" t="s">
        <v>2</v>
      </c>
      <c r="G65" s="995" t="s">
        <v>785</v>
      </c>
      <c r="H65" s="996"/>
      <c r="I65" s="997">
        <v>0.5</v>
      </c>
      <c r="J65" s="997">
        <v>0</v>
      </c>
      <c r="K65" s="997">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5" t="s">
        <v>788</v>
      </c>
      <c r="B66" s="995" t="s">
        <v>1120</v>
      </c>
      <c r="C66" s="996"/>
      <c r="D66" s="996"/>
      <c r="E66" s="996"/>
      <c r="F66" s="995" t="s">
        <v>2</v>
      </c>
      <c r="G66" s="995" t="s">
        <v>785</v>
      </c>
      <c r="H66" s="996"/>
      <c r="I66" s="997">
        <v>0.5</v>
      </c>
      <c r="J66" s="997">
        <v>0</v>
      </c>
      <c r="K66" s="997">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5" t="s">
        <v>789</v>
      </c>
      <c r="B67" s="995" t="s">
        <v>2110</v>
      </c>
      <c r="C67" s="996"/>
      <c r="D67" s="996"/>
      <c r="E67" s="996"/>
      <c r="F67" s="995" t="s">
        <v>2</v>
      </c>
      <c r="G67" s="995" t="s">
        <v>785</v>
      </c>
      <c r="H67" s="996"/>
      <c r="I67" s="997">
        <v>0.5</v>
      </c>
      <c r="J67" s="997">
        <v>0</v>
      </c>
      <c r="K67" s="997">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5" t="s">
        <v>790</v>
      </c>
      <c r="B68" s="995" t="s">
        <v>2119</v>
      </c>
      <c r="C68" s="996"/>
      <c r="D68" s="996"/>
      <c r="E68" s="996"/>
      <c r="F68" s="995" t="s">
        <v>2</v>
      </c>
      <c r="G68" s="995" t="s">
        <v>785</v>
      </c>
      <c r="H68" s="996"/>
      <c r="I68" s="997">
        <v>0.5</v>
      </c>
      <c r="J68" s="997">
        <v>0</v>
      </c>
      <c r="K68" s="997">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5" t="s">
        <v>791</v>
      </c>
      <c r="B69" s="995" t="s">
        <v>2128</v>
      </c>
      <c r="C69" s="996"/>
      <c r="D69" s="996"/>
      <c r="E69" s="996"/>
      <c r="F69" s="995" t="s">
        <v>2</v>
      </c>
      <c r="G69" s="995" t="s">
        <v>785</v>
      </c>
      <c r="H69" s="996"/>
      <c r="I69" s="997">
        <v>0.5</v>
      </c>
      <c r="J69" s="997">
        <v>0</v>
      </c>
      <c r="K69" s="997">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5" t="s">
        <v>792</v>
      </c>
      <c r="B70" s="995" t="s">
        <v>2131</v>
      </c>
      <c r="C70" s="996"/>
      <c r="D70" s="996"/>
      <c r="E70" s="996"/>
      <c r="F70" s="995" t="s">
        <v>2</v>
      </c>
      <c r="G70" s="995" t="s">
        <v>785</v>
      </c>
      <c r="H70" s="996"/>
      <c r="I70" s="997">
        <v>1</v>
      </c>
      <c r="J70" s="997">
        <v>0</v>
      </c>
      <c r="K70" s="997">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5" t="s">
        <v>793</v>
      </c>
      <c r="B71" s="995" t="s">
        <v>2133</v>
      </c>
      <c r="C71" s="996"/>
      <c r="D71" s="996"/>
      <c r="E71" s="996"/>
      <c r="F71" s="995" t="s">
        <v>2</v>
      </c>
      <c r="G71" s="995" t="s">
        <v>785</v>
      </c>
      <c r="H71" s="996"/>
      <c r="I71" s="997">
        <v>1</v>
      </c>
      <c r="J71" s="997">
        <v>0</v>
      </c>
      <c r="K71" s="997">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5" t="s">
        <v>794</v>
      </c>
      <c r="B72" s="995" t="s">
        <v>2157</v>
      </c>
      <c r="C72" s="996"/>
      <c r="D72" s="996"/>
      <c r="E72" s="996"/>
      <c r="F72" s="995" t="s">
        <v>2</v>
      </c>
      <c r="G72" s="995" t="s">
        <v>3329</v>
      </c>
      <c r="H72" s="996"/>
      <c r="I72" s="997">
        <v>6</v>
      </c>
      <c r="J72" s="997">
        <v>0</v>
      </c>
      <c r="K72" s="997">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5" t="s">
        <v>795</v>
      </c>
      <c r="B73" s="995" t="s">
        <v>2163</v>
      </c>
      <c r="C73" s="996"/>
      <c r="D73" s="996"/>
      <c r="E73" s="996"/>
      <c r="F73" s="995" t="s">
        <v>2</v>
      </c>
      <c r="G73" s="995" t="s">
        <v>785</v>
      </c>
      <c r="H73" s="996"/>
      <c r="I73" s="997">
        <v>3</v>
      </c>
      <c r="J73" s="997">
        <v>0</v>
      </c>
      <c r="K73" s="997">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5" t="s">
        <v>796</v>
      </c>
      <c r="B74" s="995" t="s">
        <v>2178</v>
      </c>
      <c r="C74" s="996"/>
      <c r="D74" s="996"/>
      <c r="E74" s="996"/>
      <c r="F74" s="995" t="s">
        <v>2</v>
      </c>
      <c r="G74" s="995" t="s">
        <v>785</v>
      </c>
      <c r="H74" s="996"/>
      <c r="I74" s="997">
        <v>1.5</v>
      </c>
      <c r="J74" s="997">
        <v>0</v>
      </c>
      <c r="K74" s="997">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5" t="s">
        <v>797</v>
      </c>
      <c r="B75" s="995" t="s">
        <v>2181</v>
      </c>
      <c r="C75" s="996"/>
      <c r="D75" s="996"/>
      <c r="E75" s="996"/>
      <c r="F75" s="995" t="s">
        <v>2</v>
      </c>
      <c r="G75" s="995" t="s">
        <v>785</v>
      </c>
      <c r="H75" s="996"/>
      <c r="I75" s="997">
        <v>1.5</v>
      </c>
      <c r="J75" s="997">
        <v>0</v>
      </c>
      <c r="K75" s="997">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5" t="s">
        <v>798</v>
      </c>
      <c r="B76" s="995" t="s">
        <v>3354</v>
      </c>
      <c r="C76" s="996"/>
      <c r="D76" s="996"/>
      <c r="E76" s="996"/>
      <c r="F76" s="995" t="s">
        <v>2</v>
      </c>
      <c r="G76" s="995" t="s">
        <v>785</v>
      </c>
      <c r="H76" s="996"/>
      <c r="I76" s="997">
        <v>1</v>
      </c>
      <c r="J76" s="997">
        <v>0</v>
      </c>
      <c r="K76" s="997">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5" t="s">
        <v>799</v>
      </c>
      <c r="B77" s="995" t="s">
        <v>2276</v>
      </c>
      <c r="C77" s="996"/>
      <c r="D77" s="996"/>
      <c r="E77" s="996"/>
      <c r="F77" s="995" t="s">
        <v>2</v>
      </c>
      <c r="G77" s="995" t="s">
        <v>3330</v>
      </c>
      <c r="H77" s="996"/>
      <c r="I77" s="997">
        <v>5</v>
      </c>
      <c r="J77" s="997">
        <v>0</v>
      </c>
      <c r="K77" s="997">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5" t="s">
        <v>800</v>
      </c>
      <c r="B78" s="995" t="s">
        <v>1208</v>
      </c>
      <c r="C78" s="996"/>
      <c r="D78" s="996"/>
      <c r="E78" s="996"/>
      <c r="F78" s="995" t="s">
        <v>2</v>
      </c>
      <c r="G78" s="995" t="s">
        <v>3330</v>
      </c>
      <c r="H78" s="996"/>
      <c r="I78" s="997">
        <v>1</v>
      </c>
      <c r="J78" s="997">
        <v>0</v>
      </c>
      <c r="K78" s="997">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5" t="s">
        <v>801</v>
      </c>
      <c r="B79" s="995" t="s">
        <v>2337</v>
      </c>
      <c r="C79" s="996"/>
      <c r="D79" s="996"/>
      <c r="E79" s="996"/>
      <c r="F79" s="995" t="s">
        <v>2</v>
      </c>
      <c r="G79" s="995" t="s">
        <v>785</v>
      </c>
      <c r="H79" s="996"/>
      <c r="I79" s="997">
        <v>1</v>
      </c>
      <c r="J79" s="997">
        <v>0</v>
      </c>
      <c r="K79" s="997">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5" t="s">
        <v>802</v>
      </c>
      <c r="B80" s="995" t="s">
        <v>2346</v>
      </c>
      <c r="C80" s="996"/>
      <c r="D80" s="996"/>
      <c r="E80" s="996"/>
      <c r="F80" s="995" t="s">
        <v>2</v>
      </c>
      <c r="G80" s="995" t="s">
        <v>785</v>
      </c>
      <c r="H80" s="996"/>
      <c r="I80" s="997">
        <v>1</v>
      </c>
      <c r="J80" s="997">
        <v>0</v>
      </c>
      <c r="K80" s="997">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5" t="s">
        <v>803</v>
      </c>
      <c r="B81" s="995" t="s">
        <v>2371</v>
      </c>
      <c r="C81" s="996"/>
      <c r="D81" s="996"/>
      <c r="E81" s="996"/>
      <c r="F81" s="995" t="s">
        <v>2</v>
      </c>
      <c r="G81" s="995" t="s">
        <v>785</v>
      </c>
      <c r="H81" s="996"/>
      <c r="I81" s="997">
        <v>7</v>
      </c>
      <c r="J81" s="997">
        <v>0</v>
      </c>
      <c r="K81" s="997">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5" t="s">
        <v>804</v>
      </c>
      <c r="B82" s="995" t="s">
        <v>2469</v>
      </c>
      <c r="C82" s="996"/>
      <c r="D82" s="996"/>
      <c r="E82" s="996"/>
      <c r="F82" s="995" t="s">
        <v>2</v>
      </c>
      <c r="G82" s="995" t="s">
        <v>3331</v>
      </c>
      <c r="H82" s="996"/>
      <c r="I82" s="997">
        <v>12</v>
      </c>
      <c r="J82" s="997">
        <v>0</v>
      </c>
      <c r="K82" s="997">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5" t="s">
        <v>805</v>
      </c>
      <c r="B83" s="995" t="s">
        <v>2538</v>
      </c>
      <c r="C83" s="996"/>
      <c r="D83" s="996"/>
      <c r="E83" s="996"/>
      <c r="F83" s="995" t="s">
        <v>2</v>
      </c>
      <c r="G83" s="995" t="s">
        <v>785</v>
      </c>
      <c r="H83" s="996"/>
      <c r="I83" s="997">
        <v>0.2</v>
      </c>
      <c r="J83" s="997">
        <v>0</v>
      </c>
      <c r="K83" s="997">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5" t="s">
        <v>806</v>
      </c>
      <c r="B84" s="995" t="s">
        <v>2544</v>
      </c>
      <c r="C84" s="996"/>
      <c r="D84" s="996"/>
      <c r="E84" s="996"/>
      <c r="F84" s="995" t="s">
        <v>2</v>
      </c>
      <c r="G84" s="995" t="s">
        <v>785</v>
      </c>
      <c r="H84" s="996"/>
      <c r="I84" s="997">
        <v>0.2</v>
      </c>
      <c r="J84" s="997">
        <v>0</v>
      </c>
      <c r="K84" s="997">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5" t="s">
        <v>807</v>
      </c>
      <c r="B85" s="995" t="s">
        <v>2574</v>
      </c>
      <c r="C85" s="996"/>
      <c r="D85" s="996"/>
      <c r="E85" s="996"/>
      <c r="F85" s="995" t="s">
        <v>2</v>
      </c>
      <c r="G85" s="995" t="s">
        <v>785</v>
      </c>
      <c r="H85" s="996"/>
      <c r="I85" s="997">
        <v>0.2</v>
      </c>
      <c r="J85" s="997">
        <v>0</v>
      </c>
      <c r="K85" s="997">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5" t="s">
        <v>808</v>
      </c>
      <c r="B86" s="995" t="s">
        <v>1267</v>
      </c>
      <c r="C86" s="996"/>
      <c r="D86" s="996"/>
      <c r="E86" s="996"/>
      <c r="F86" s="995" t="s">
        <v>2</v>
      </c>
      <c r="G86" s="995" t="s">
        <v>785</v>
      </c>
      <c r="H86" s="996"/>
      <c r="I86" s="997">
        <v>0.2</v>
      </c>
      <c r="J86" s="997">
        <v>0</v>
      </c>
      <c r="K86" s="997">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5" t="s">
        <v>809</v>
      </c>
      <c r="B87" s="995" t="s">
        <v>2617</v>
      </c>
      <c r="C87" s="996"/>
      <c r="D87" s="996"/>
      <c r="E87" s="996"/>
      <c r="F87" s="995" t="s">
        <v>2</v>
      </c>
      <c r="G87" s="995" t="s">
        <v>785</v>
      </c>
      <c r="H87" s="996"/>
      <c r="I87" s="997">
        <v>0.2</v>
      </c>
      <c r="J87" s="997">
        <v>0</v>
      </c>
      <c r="K87" s="997">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5" t="s">
        <v>810</v>
      </c>
      <c r="B88" s="995" t="s">
        <v>2635</v>
      </c>
      <c r="C88" s="996"/>
      <c r="D88" s="996"/>
      <c r="E88" s="996"/>
      <c r="F88" s="995" t="s">
        <v>2</v>
      </c>
      <c r="G88" s="995" t="s">
        <v>785</v>
      </c>
      <c r="H88" s="996"/>
      <c r="I88" s="997">
        <v>1</v>
      </c>
      <c r="J88" s="997">
        <v>0</v>
      </c>
      <c r="K88" s="997">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5" t="s">
        <v>811</v>
      </c>
      <c r="B89" s="995" t="s">
        <v>2638</v>
      </c>
      <c r="C89" s="996"/>
      <c r="D89" s="996"/>
      <c r="E89" s="996"/>
      <c r="F89" s="995" t="s">
        <v>2</v>
      </c>
      <c r="G89" s="995" t="s">
        <v>785</v>
      </c>
      <c r="H89" s="996"/>
      <c r="I89" s="997">
        <v>1</v>
      </c>
      <c r="J89" s="997">
        <v>0</v>
      </c>
      <c r="K89" s="997">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5" t="s">
        <v>812</v>
      </c>
      <c r="B90" s="995" t="s">
        <v>2641</v>
      </c>
      <c r="C90" s="996"/>
      <c r="D90" s="996"/>
      <c r="E90" s="996"/>
      <c r="F90" s="995" t="s">
        <v>2</v>
      </c>
      <c r="G90" s="995" t="s">
        <v>785</v>
      </c>
      <c r="H90" s="996"/>
      <c r="I90" s="997">
        <v>1</v>
      </c>
      <c r="J90" s="997">
        <v>0</v>
      </c>
      <c r="K90" s="997">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5" t="s">
        <v>813</v>
      </c>
      <c r="B91" s="995" t="s">
        <v>2644</v>
      </c>
      <c r="C91" s="996"/>
      <c r="D91" s="996"/>
      <c r="E91" s="996"/>
      <c r="F91" s="995" t="s">
        <v>2</v>
      </c>
      <c r="G91" s="995" t="s">
        <v>785</v>
      </c>
      <c r="H91" s="996"/>
      <c r="I91" s="997">
        <v>1</v>
      </c>
      <c r="J91" s="997">
        <v>0</v>
      </c>
      <c r="K91" s="997">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5" t="s">
        <v>814</v>
      </c>
      <c r="B92" s="995" t="s">
        <v>2722</v>
      </c>
      <c r="C92" s="996"/>
      <c r="D92" s="996"/>
      <c r="E92" s="996"/>
      <c r="F92" s="995" t="s">
        <v>2</v>
      </c>
      <c r="G92" s="995" t="s">
        <v>3332</v>
      </c>
      <c r="H92" s="996"/>
      <c r="I92" s="997">
        <v>3</v>
      </c>
      <c r="J92" s="997">
        <v>0</v>
      </c>
      <c r="K92" s="997">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5" t="s">
        <v>815</v>
      </c>
      <c r="B93" s="995" t="s">
        <v>817</v>
      </c>
      <c r="C93" s="997">
        <v>966471.7</v>
      </c>
      <c r="D93" s="997">
        <v>35273.9</v>
      </c>
      <c r="E93" s="997">
        <v>1001745.6</v>
      </c>
      <c r="F93" s="995" t="s">
        <v>816</v>
      </c>
      <c r="G93" s="995" t="s">
        <v>817</v>
      </c>
      <c r="H93" s="996"/>
      <c r="I93" s="996"/>
      <c r="J93" s="996"/>
      <c r="K93" s="996"/>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5" t="s">
        <v>818</v>
      </c>
      <c r="B94" s="995" t="s">
        <v>3356</v>
      </c>
      <c r="C94" s="997">
        <v>0</v>
      </c>
      <c r="D94" s="997">
        <v>0.01</v>
      </c>
      <c r="E94" s="997">
        <v>0.01</v>
      </c>
      <c r="F94" s="995" t="s">
        <v>816</v>
      </c>
      <c r="G94" s="995" t="s">
        <v>817</v>
      </c>
      <c r="H94" s="996"/>
      <c r="I94" s="996"/>
      <c r="J94" s="996"/>
      <c r="K94" s="996"/>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5" t="s">
        <v>819</v>
      </c>
      <c r="B95" s="995" t="s">
        <v>3359</v>
      </c>
      <c r="C95" s="997">
        <v>850000</v>
      </c>
      <c r="D95" s="997">
        <v>0</v>
      </c>
      <c r="E95" s="997">
        <v>850000</v>
      </c>
      <c r="F95" s="995" t="s">
        <v>816</v>
      </c>
      <c r="G95" s="995" t="s">
        <v>817</v>
      </c>
      <c r="H95" s="996"/>
      <c r="I95" s="996"/>
      <c r="J95" s="996"/>
      <c r="K95" s="996"/>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5" t="s">
        <v>820</v>
      </c>
      <c r="B96" s="995" t="s">
        <v>1452</v>
      </c>
      <c r="C96" s="997">
        <v>220.85</v>
      </c>
      <c r="D96" s="997">
        <v>0</v>
      </c>
      <c r="E96" s="997">
        <v>220.85</v>
      </c>
      <c r="F96" s="995" t="s">
        <v>816</v>
      </c>
      <c r="G96" s="995" t="s">
        <v>817</v>
      </c>
      <c r="H96" s="996"/>
      <c r="I96" s="996"/>
      <c r="J96" s="996"/>
      <c r="K96" s="996"/>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5" t="s">
        <v>3665</v>
      </c>
      <c r="B97" s="995" t="s">
        <v>3361</v>
      </c>
      <c r="C97" s="997">
        <v>0</v>
      </c>
      <c r="D97" s="997">
        <v>69.33</v>
      </c>
      <c r="E97" s="997">
        <v>69.33</v>
      </c>
      <c r="F97" s="995" t="s">
        <v>816</v>
      </c>
      <c r="G97" s="995" t="s">
        <v>821</v>
      </c>
      <c r="H97" s="974"/>
      <c r="I97" s="974"/>
      <c r="J97" s="974"/>
      <c r="K97" s="974"/>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5" t="s">
        <v>822</v>
      </c>
      <c r="B98" s="995" t="s">
        <v>823</v>
      </c>
      <c r="C98" s="997">
        <v>924558.89</v>
      </c>
      <c r="D98" s="997">
        <v>-342698.95</v>
      </c>
      <c r="E98" s="997">
        <v>581859.93999999994</v>
      </c>
      <c r="F98" s="995" t="s">
        <v>816</v>
      </c>
      <c r="G98" s="995" t="s">
        <v>823</v>
      </c>
      <c r="H98" s="974"/>
      <c r="I98" s="974"/>
      <c r="J98" s="974"/>
      <c r="K98" s="974"/>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5" t="s">
        <v>824</v>
      </c>
      <c r="B99" s="995" t="s">
        <v>825</v>
      </c>
      <c r="C99" s="997">
        <v>-10369.950000000001</v>
      </c>
      <c r="D99" s="997">
        <v>18688.14</v>
      </c>
      <c r="E99" s="997">
        <v>8318.19</v>
      </c>
      <c r="F99" s="995" t="s">
        <v>816</v>
      </c>
      <c r="G99" s="995" t="s">
        <v>825</v>
      </c>
      <c r="H99" s="974"/>
      <c r="I99" s="974"/>
      <c r="J99" s="974"/>
      <c r="K99" s="974"/>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5" t="s">
        <v>826</v>
      </c>
      <c r="B100" s="995" t="s">
        <v>1459</v>
      </c>
      <c r="C100" s="997">
        <v>714333.52</v>
      </c>
      <c r="D100" s="997">
        <v>-562398.52</v>
      </c>
      <c r="E100" s="997">
        <v>151935</v>
      </c>
      <c r="F100" s="995" t="s">
        <v>816</v>
      </c>
      <c r="G100" s="995" t="s">
        <v>825</v>
      </c>
      <c r="H100" s="974"/>
      <c r="I100" s="974"/>
      <c r="J100" s="974"/>
      <c r="K100" s="974"/>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5" t="s">
        <v>827</v>
      </c>
      <c r="B101" s="995" t="s">
        <v>828</v>
      </c>
      <c r="C101" s="997">
        <v>167891.3</v>
      </c>
      <c r="D101" s="997">
        <v>-38032.120000000003</v>
      </c>
      <c r="E101" s="997">
        <v>129859.18</v>
      </c>
      <c r="F101" s="995" t="s">
        <v>816</v>
      </c>
      <c r="G101" s="995" t="s">
        <v>828</v>
      </c>
      <c r="H101" s="974"/>
      <c r="I101" s="974"/>
      <c r="J101" s="974"/>
      <c r="K101" s="974"/>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5" t="s">
        <v>829</v>
      </c>
      <c r="B102" s="995" t="s">
        <v>1464</v>
      </c>
      <c r="C102" s="997">
        <v>91192.84</v>
      </c>
      <c r="D102" s="997">
        <v>-20264.66</v>
      </c>
      <c r="E102" s="997">
        <v>70928.179999999993</v>
      </c>
      <c r="F102" s="995" t="s">
        <v>816</v>
      </c>
      <c r="G102" s="995" t="s">
        <v>828</v>
      </c>
      <c r="H102" s="974"/>
      <c r="I102" s="974"/>
      <c r="J102" s="974"/>
      <c r="K102" s="974"/>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5" t="s">
        <v>830</v>
      </c>
      <c r="B103" s="995" t="s">
        <v>3362</v>
      </c>
      <c r="C103" s="997">
        <v>3928.91</v>
      </c>
      <c r="D103" s="997">
        <v>5887.87</v>
      </c>
      <c r="E103" s="997">
        <v>9816.7800000000007</v>
      </c>
      <c r="F103" s="995" t="s">
        <v>816</v>
      </c>
      <c r="G103" s="995" t="s">
        <v>828</v>
      </c>
      <c r="H103" s="974"/>
      <c r="I103" s="975"/>
      <c r="J103" s="975"/>
      <c r="K103" s="975"/>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5" t="s">
        <v>831</v>
      </c>
      <c r="B104" s="995" t="s">
        <v>3363</v>
      </c>
      <c r="C104" s="997">
        <v>24300</v>
      </c>
      <c r="D104" s="997">
        <v>14700</v>
      </c>
      <c r="E104" s="997">
        <v>39000</v>
      </c>
      <c r="F104" s="995" t="s">
        <v>816</v>
      </c>
      <c r="G104" s="995" t="s">
        <v>825</v>
      </c>
      <c r="H104" s="974"/>
      <c r="I104" s="975"/>
      <c r="J104" s="975"/>
      <c r="K104" s="975"/>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5" t="s">
        <v>832</v>
      </c>
      <c r="B105" s="995" t="s">
        <v>1467</v>
      </c>
      <c r="C105" s="997">
        <v>88115</v>
      </c>
      <c r="D105" s="997">
        <v>-73870</v>
      </c>
      <c r="E105" s="997">
        <v>14245</v>
      </c>
      <c r="F105" s="995" t="s">
        <v>816</v>
      </c>
      <c r="G105" s="995" t="s">
        <v>833</v>
      </c>
      <c r="H105" s="974"/>
      <c r="I105" s="975"/>
      <c r="J105" s="975"/>
      <c r="K105" s="975"/>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5" t="s">
        <v>834</v>
      </c>
      <c r="B106" s="995" t="s">
        <v>835</v>
      </c>
      <c r="C106" s="997">
        <v>81514.460000000006</v>
      </c>
      <c r="D106" s="997">
        <v>-78097.36</v>
      </c>
      <c r="E106" s="997">
        <v>3417.1</v>
      </c>
      <c r="F106" s="995" t="s">
        <v>816</v>
      </c>
      <c r="G106" s="995" t="s">
        <v>835</v>
      </c>
      <c r="H106" s="974"/>
      <c r="I106" s="975"/>
      <c r="J106" s="975"/>
      <c r="K106" s="975"/>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5" t="s">
        <v>836</v>
      </c>
      <c r="B107" s="995" t="s">
        <v>1472</v>
      </c>
      <c r="C107" s="997">
        <v>9050.6200000000008</v>
      </c>
      <c r="D107" s="997">
        <v>3198.86</v>
      </c>
      <c r="E107" s="997">
        <v>12249.48</v>
      </c>
      <c r="F107" s="995" t="s">
        <v>816</v>
      </c>
      <c r="G107" s="995" t="s">
        <v>821</v>
      </c>
      <c r="H107" s="974"/>
      <c r="I107" s="975"/>
      <c r="J107" s="975"/>
      <c r="K107" s="975"/>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5" t="s">
        <v>837</v>
      </c>
      <c r="B108" s="995" t="s">
        <v>1475</v>
      </c>
      <c r="C108" s="997">
        <v>-54183.66</v>
      </c>
      <c r="D108" s="997">
        <v>17044</v>
      </c>
      <c r="E108" s="997">
        <v>-37139.660000000003</v>
      </c>
      <c r="F108" s="995" t="s">
        <v>816</v>
      </c>
      <c r="G108" s="995" t="s">
        <v>833</v>
      </c>
      <c r="H108" s="974"/>
      <c r="I108" s="975"/>
      <c r="J108" s="975"/>
      <c r="K108" s="975"/>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5" t="s">
        <v>838</v>
      </c>
      <c r="B109" s="995" t="s">
        <v>839</v>
      </c>
      <c r="C109" s="997">
        <v>-2655.24</v>
      </c>
      <c r="D109" s="997">
        <v>0</v>
      </c>
      <c r="E109" s="997">
        <v>-2655.24</v>
      </c>
      <c r="F109" s="995" t="s">
        <v>816</v>
      </c>
      <c r="G109" s="995" t="s">
        <v>839</v>
      </c>
      <c r="H109" s="974"/>
      <c r="I109" s="975"/>
      <c r="J109" s="975"/>
      <c r="K109" s="975"/>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5" t="s">
        <v>840</v>
      </c>
      <c r="B110" s="995" t="s">
        <v>841</v>
      </c>
      <c r="C110" s="997">
        <v>2737483.13</v>
      </c>
      <c r="D110" s="997">
        <v>-483507.75</v>
      </c>
      <c r="E110" s="997">
        <v>2253975.38</v>
      </c>
      <c r="F110" s="995" t="s">
        <v>816</v>
      </c>
      <c r="G110" s="995" t="s">
        <v>841</v>
      </c>
      <c r="H110" s="974"/>
      <c r="I110" s="975"/>
      <c r="J110" s="975"/>
      <c r="K110" s="975"/>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5" t="s">
        <v>844</v>
      </c>
      <c r="B111" s="995" t="s">
        <v>1487</v>
      </c>
      <c r="C111" s="997">
        <v>-57100</v>
      </c>
      <c r="D111" s="997">
        <v>-1875</v>
      </c>
      <c r="E111" s="997">
        <v>-58975</v>
      </c>
      <c r="F111" s="995" t="s">
        <v>816</v>
      </c>
      <c r="G111" s="995" t="s">
        <v>841</v>
      </c>
      <c r="H111" s="974"/>
      <c r="I111" s="975"/>
      <c r="J111" s="975"/>
      <c r="K111" s="975"/>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5" t="s">
        <v>845</v>
      </c>
      <c r="B112" s="995" t="s">
        <v>846</v>
      </c>
      <c r="C112" s="997">
        <v>-5312</v>
      </c>
      <c r="D112" s="997">
        <v>-2400</v>
      </c>
      <c r="E112" s="997">
        <v>-7712</v>
      </c>
      <c r="F112" s="995" t="s">
        <v>816</v>
      </c>
      <c r="G112" s="995" t="s">
        <v>846</v>
      </c>
      <c r="H112" s="974"/>
      <c r="I112" s="975"/>
      <c r="J112" s="975"/>
      <c r="K112" s="975"/>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5" t="s">
        <v>847</v>
      </c>
      <c r="B113" s="995" t="s">
        <v>848</v>
      </c>
      <c r="C113" s="997">
        <v>2836520.29</v>
      </c>
      <c r="D113" s="997">
        <v>-348389.8</v>
      </c>
      <c r="E113" s="997">
        <v>2488130.4900000002</v>
      </c>
      <c r="F113" s="995" t="s">
        <v>816</v>
      </c>
      <c r="G113" s="995" t="s">
        <v>848</v>
      </c>
      <c r="H113" s="974"/>
      <c r="I113" s="975"/>
      <c r="J113" s="975"/>
      <c r="K113" s="975"/>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5" t="s">
        <v>851</v>
      </c>
      <c r="B114" s="995" t="s">
        <v>852</v>
      </c>
      <c r="C114" s="997">
        <v>-11095.25</v>
      </c>
      <c r="D114" s="997">
        <v>-7064.46</v>
      </c>
      <c r="E114" s="997">
        <v>-18159.71</v>
      </c>
      <c r="F114" s="995" t="s">
        <v>816</v>
      </c>
      <c r="G114" s="995" t="s">
        <v>852</v>
      </c>
      <c r="H114" s="974"/>
      <c r="I114" s="975"/>
      <c r="J114" s="975"/>
      <c r="K114" s="975"/>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5" t="s">
        <v>853</v>
      </c>
      <c r="B115" s="995" t="s">
        <v>3365</v>
      </c>
      <c r="C115" s="997">
        <v>-36318.639999999999</v>
      </c>
      <c r="D115" s="997">
        <v>6920.62</v>
      </c>
      <c r="E115" s="997">
        <v>-29398.02</v>
      </c>
      <c r="F115" s="995" t="s">
        <v>816</v>
      </c>
      <c r="G115" s="995" t="s">
        <v>854</v>
      </c>
      <c r="H115" s="974"/>
      <c r="I115" s="975"/>
      <c r="J115" s="975"/>
      <c r="K115" s="975"/>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5" t="s">
        <v>855</v>
      </c>
      <c r="B116" s="995" t="s">
        <v>856</v>
      </c>
      <c r="C116" s="997">
        <v>65871.789999999994</v>
      </c>
      <c r="D116" s="997">
        <v>-10711.08</v>
      </c>
      <c r="E116" s="997">
        <v>55160.71</v>
      </c>
      <c r="F116" s="995" t="s">
        <v>816</v>
      </c>
      <c r="G116" s="995" t="s">
        <v>856</v>
      </c>
      <c r="H116" s="974"/>
      <c r="I116" s="975"/>
      <c r="J116" s="975"/>
      <c r="K116" s="975"/>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5" t="s">
        <v>857</v>
      </c>
      <c r="B117" s="995" t="s">
        <v>3366</v>
      </c>
      <c r="C117" s="997">
        <v>346.5</v>
      </c>
      <c r="D117" s="997">
        <v>-346.5</v>
      </c>
      <c r="E117" s="997">
        <v>0</v>
      </c>
      <c r="F117" s="995" t="s">
        <v>816</v>
      </c>
      <c r="G117" s="995" t="s">
        <v>856</v>
      </c>
      <c r="H117" s="974"/>
      <c r="I117" s="975"/>
      <c r="J117" s="975"/>
      <c r="K117" s="975"/>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5" t="s">
        <v>858</v>
      </c>
      <c r="B118" s="995" t="s">
        <v>1498</v>
      </c>
      <c r="C118" s="997">
        <v>184295.38</v>
      </c>
      <c r="D118" s="997">
        <v>6291.44</v>
      </c>
      <c r="E118" s="997">
        <v>190586.82</v>
      </c>
      <c r="F118" s="995" t="s">
        <v>816</v>
      </c>
      <c r="G118" s="995" t="s">
        <v>856</v>
      </c>
      <c r="H118" s="974"/>
      <c r="I118" s="975"/>
      <c r="J118" s="975"/>
      <c r="K118" s="975"/>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5" t="s">
        <v>859</v>
      </c>
      <c r="B119" s="995" t="s">
        <v>860</v>
      </c>
      <c r="C119" s="997">
        <v>87436.52</v>
      </c>
      <c r="D119" s="997">
        <v>4161.88</v>
      </c>
      <c r="E119" s="997">
        <v>91598.399999999994</v>
      </c>
      <c r="F119" s="995" t="s">
        <v>816</v>
      </c>
      <c r="G119" s="995" t="s">
        <v>860</v>
      </c>
      <c r="H119" s="974"/>
      <c r="I119" s="975"/>
      <c r="J119" s="975"/>
      <c r="K119" s="975"/>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5" t="s">
        <v>861</v>
      </c>
      <c r="B120" s="995" t="s">
        <v>862</v>
      </c>
      <c r="C120" s="997">
        <v>6332.7</v>
      </c>
      <c r="D120" s="997">
        <v>3466.3</v>
      </c>
      <c r="E120" s="997">
        <v>9799</v>
      </c>
      <c r="F120" s="995" t="s">
        <v>816</v>
      </c>
      <c r="G120" s="995" t="s">
        <v>862</v>
      </c>
      <c r="H120" s="974"/>
      <c r="I120" s="975"/>
      <c r="J120" s="975"/>
      <c r="K120" s="975"/>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5" t="s">
        <v>863</v>
      </c>
      <c r="B121" s="995" t="s">
        <v>1505</v>
      </c>
      <c r="C121" s="997">
        <v>2533.04</v>
      </c>
      <c r="D121" s="997">
        <v>4139.5600000000004</v>
      </c>
      <c r="E121" s="997">
        <v>6672.6</v>
      </c>
      <c r="F121" s="995" t="s">
        <v>816</v>
      </c>
      <c r="G121" s="995" t="s">
        <v>862</v>
      </c>
      <c r="H121" s="974"/>
      <c r="I121" s="975"/>
      <c r="J121" s="975"/>
      <c r="K121" s="975"/>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5" t="s">
        <v>864</v>
      </c>
      <c r="B122" s="995" t="s">
        <v>1508</v>
      </c>
      <c r="C122" s="997">
        <v>1932.59</v>
      </c>
      <c r="D122" s="997">
        <v>15309.97</v>
      </c>
      <c r="E122" s="997">
        <v>17242.560000000001</v>
      </c>
      <c r="F122" s="995" t="s">
        <v>816</v>
      </c>
      <c r="G122" s="995" t="s">
        <v>856</v>
      </c>
      <c r="H122" s="974"/>
      <c r="I122" s="975"/>
      <c r="J122" s="975"/>
      <c r="K122" s="975"/>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5" t="s">
        <v>865</v>
      </c>
      <c r="B123" s="995" t="s">
        <v>866</v>
      </c>
      <c r="C123" s="997">
        <v>47.1</v>
      </c>
      <c r="D123" s="997">
        <v>0</v>
      </c>
      <c r="E123" s="997">
        <v>47.1</v>
      </c>
      <c r="F123" s="995" t="s">
        <v>816</v>
      </c>
      <c r="G123" s="995" t="s">
        <v>866</v>
      </c>
      <c r="H123" s="974"/>
      <c r="I123" s="975"/>
      <c r="J123" s="975"/>
      <c r="K123" s="975"/>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5" t="s">
        <v>867</v>
      </c>
      <c r="B124" s="995" t="s">
        <v>1513</v>
      </c>
      <c r="C124" s="997">
        <v>2228.83</v>
      </c>
      <c r="D124" s="997">
        <v>-148.26</v>
      </c>
      <c r="E124" s="997">
        <v>2080.5700000000002</v>
      </c>
      <c r="F124" s="995" t="s">
        <v>816</v>
      </c>
      <c r="G124" s="995" t="s">
        <v>868</v>
      </c>
      <c r="H124" s="974"/>
      <c r="I124" s="975"/>
      <c r="J124" s="975"/>
      <c r="K124" s="975"/>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5" t="s">
        <v>869</v>
      </c>
      <c r="B125" s="995" t="s">
        <v>1516</v>
      </c>
      <c r="C125" s="997">
        <v>47.35</v>
      </c>
      <c r="D125" s="997">
        <v>86.97</v>
      </c>
      <c r="E125" s="997">
        <v>134.32</v>
      </c>
      <c r="F125" s="995" t="s">
        <v>816</v>
      </c>
      <c r="G125" s="995" t="s">
        <v>868</v>
      </c>
      <c r="H125" s="974"/>
      <c r="I125" s="975"/>
      <c r="J125" s="975"/>
      <c r="K125" s="975"/>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5" t="s">
        <v>870</v>
      </c>
      <c r="B126" s="995" t="s">
        <v>1519</v>
      </c>
      <c r="C126" s="997">
        <v>-19641.759999999998</v>
      </c>
      <c r="D126" s="997">
        <v>3804.65</v>
      </c>
      <c r="E126" s="997">
        <v>-15837.11</v>
      </c>
      <c r="F126" s="995" t="s">
        <v>816</v>
      </c>
      <c r="G126" s="995" t="s">
        <v>868</v>
      </c>
      <c r="H126" s="974"/>
      <c r="I126" s="975"/>
      <c r="J126" s="975"/>
      <c r="K126" s="975"/>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5" t="s">
        <v>871</v>
      </c>
      <c r="B127" s="995" t="s">
        <v>1525</v>
      </c>
      <c r="C127" s="997">
        <v>1380</v>
      </c>
      <c r="D127" s="997">
        <v>-70</v>
      </c>
      <c r="E127" s="997">
        <v>1310</v>
      </c>
      <c r="F127" s="995" t="s">
        <v>816</v>
      </c>
      <c r="G127" s="995" t="s">
        <v>868</v>
      </c>
      <c r="H127" s="974"/>
      <c r="I127" s="975"/>
      <c r="J127" s="975"/>
      <c r="K127" s="975"/>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5" t="s">
        <v>872</v>
      </c>
      <c r="B128" s="995" t="s">
        <v>1528</v>
      </c>
      <c r="C128" s="997">
        <v>8034.43</v>
      </c>
      <c r="D128" s="997">
        <v>0</v>
      </c>
      <c r="E128" s="997">
        <v>8034.43</v>
      </c>
      <c r="F128" s="995" t="s">
        <v>816</v>
      </c>
      <c r="G128" s="995" t="s">
        <v>868</v>
      </c>
      <c r="H128" s="974"/>
      <c r="I128" s="975"/>
      <c r="J128" s="975"/>
      <c r="K128" s="975"/>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5" t="s">
        <v>873</v>
      </c>
      <c r="B129" s="995" t="s">
        <v>1540</v>
      </c>
      <c r="C129" s="997">
        <v>1873</v>
      </c>
      <c r="D129" s="997">
        <v>2326.5</v>
      </c>
      <c r="E129" s="997">
        <v>4199.5</v>
      </c>
      <c r="F129" s="995" t="s">
        <v>816</v>
      </c>
      <c r="G129" s="995" t="s">
        <v>868</v>
      </c>
      <c r="H129" s="974"/>
      <c r="I129" s="975"/>
      <c r="J129" s="975"/>
      <c r="K129" s="975"/>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5" t="s">
        <v>874</v>
      </c>
      <c r="B130" s="995" t="s">
        <v>1543</v>
      </c>
      <c r="C130" s="997">
        <v>-130</v>
      </c>
      <c r="D130" s="997">
        <v>0</v>
      </c>
      <c r="E130" s="997">
        <v>-130</v>
      </c>
      <c r="F130" s="995" t="s">
        <v>816</v>
      </c>
      <c r="G130" s="995" t="s">
        <v>868</v>
      </c>
      <c r="H130" s="974"/>
      <c r="I130" s="975"/>
      <c r="J130" s="975"/>
      <c r="K130" s="975"/>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5" t="s">
        <v>875</v>
      </c>
      <c r="B131" s="995" t="s">
        <v>1552</v>
      </c>
      <c r="C131" s="997">
        <v>125.21</v>
      </c>
      <c r="D131" s="997">
        <v>0</v>
      </c>
      <c r="E131" s="997">
        <v>125.21</v>
      </c>
      <c r="F131" s="995" t="s">
        <v>816</v>
      </c>
      <c r="G131" s="995" t="s">
        <v>868</v>
      </c>
      <c r="H131" s="974"/>
      <c r="I131" s="975"/>
      <c r="J131" s="975"/>
      <c r="K131" s="975"/>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5" t="s">
        <v>876</v>
      </c>
      <c r="B132" s="995" t="s">
        <v>1555</v>
      </c>
      <c r="C132" s="997">
        <v>-13.56</v>
      </c>
      <c r="D132" s="997">
        <v>13.56</v>
      </c>
      <c r="E132" s="997">
        <v>0</v>
      </c>
      <c r="F132" s="995" t="s">
        <v>816</v>
      </c>
      <c r="G132" s="995" t="s">
        <v>868</v>
      </c>
      <c r="H132" s="974"/>
      <c r="I132" s="975"/>
      <c r="J132" s="975"/>
      <c r="K132" s="975"/>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5" t="s">
        <v>877</v>
      </c>
      <c r="B133" s="995" t="s">
        <v>1558</v>
      </c>
      <c r="C133" s="997">
        <v>1834.58</v>
      </c>
      <c r="D133" s="997">
        <v>0</v>
      </c>
      <c r="E133" s="997">
        <v>1834.58</v>
      </c>
      <c r="F133" s="995" t="s">
        <v>816</v>
      </c>
      <c r="G133" s="995" t="s">
        <v>868</v>
      </c>
      <c r="H133" s="974"/>
      <c r="I133" s="975"/>
      <c r="J133" s="975"/>
      <c r="K133" s="975"/>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5" t="s">
        <v>878</v>
      </c>
      <c r="B134" s="995" t="s">
        <v>1561</v>
      </c>
      <c r="C134" s="997">
        <v>8590.9599999999991</v>
      </c>
      <c r="D134" s="997">
        <v>-20211.52</v>
      </c>
      <c r="E134" s="997">
        <v>-11620.56</v>
      </c>
      <c r="F134" s="995" t="s">
        <v>816</v>
      </c>
      <c r="G134" s="995" t="s">
        <v>868</v>
      </c>
      <c r="H134" s="974"/>
      <c r="I134" s="975"/>
      <c r="J134" s="975"/>
      <c r="K134" s="975"/>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5" t="s">
        <v>879</v>
      </c>
      <c r="B135" s="995" t="s">
        <v>3369</v>
      </c>
      <c r="C135" s="997">
        <v>-29952</v>
      </c>
      <c r="D135" s="997">
        <v>0</v>
      </c>
      <c r="E135" s="997">
        <v>-29952</v>
      </c>
      <c r="F135" s="995" t="s">
        <v>816</v>
      </c>
      <c r="G135" s="995" t="s">
        <v>868</v>
      </c>
      <c r="H135" s="974"/>
      <c r="I135" s="975"/>
      <c r="J135" s="975"/>
      <c r="K135" s="975"/>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5" t="s">
        <v>880</v>
      </c>
      <c r="B136" s="995" t="s">
        <v>1564</v>
      </c>
      <c r="C136" s="997">
        <v>4632.24</v>
      </c>
      <c r="D136" s="997">
        <v>-4632.24</v>
      </c>
      <c r="E136" s="997">
        <v>0</v>
      </c>
      <c r="F136" s="995" t="s">
        <v>816</v>
      </c>
      <c r="G136" s="995" t="s">
        <v>868</v>
      </c>
      <c r="H136" s="974"/>
      <c r="I136" s="975"/>
      <c r="J136" s="975"/>
      <c r="K136" s="975"/>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5" t="s">
        <v>881</v>
      </c>
      <c r="B137" s="995" t="s">
        <v>1570</v>
      </c>
      <c r="C137" s="997">
        <v>2123.83</v>
      </c>
      <c r="D137" s="997">
        <v>-303.79000000000002</v>
      </c>
      <c r="E137" s="997">
        <v>1820.04</v>
      </c>
      <c r="F137" s="995" t="s">
        <v>816</v>
      </c>
      <c r="G137" s="995" t="s">
        <v>868</v>
      </c>
      <c r="H137" s="974"/>
      <c r="I137" s="975"/>
      <c r="J137" s="975"/>
      <c r="K137" s="975"/>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5" t="s">
        <v>882</v>
      </c>
      <c r="B138" s="995" t="s">
        <v>3370</v>
      </c>
      <c r="C138" s="997">
        <v>2330</v>
      </c>
      <c r="D138" s="997">
        <v>445</v>
      </c>
      <c r="E138" s="997">
        <v>2775</v>
      </c>
      <c r="F138" s="995" t="s">
        <v>816</v>
      </c>
      <c r="G138" s="995" t="s">
        <v>868</v>
      </c>
      <c r="H138" s="974"/>
      <c r="I138" s="975"/>
      <c r="J138" s="975"/>
      <c r="K138" s="975"/>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5" t="s">
        <v>883</v>
      </c>
      <c r="B139" s="995" t="s">
        <v>1573</v>
      </c>
      <c r="C139" s="997">
        <v>9405.2900000000009</v>
      </c>
      <c r="D139" s="997">
        <v>31299.62</v>
      </c>
      <c r="E139" s="997">
        <v>40704.910000000003</v>
      </c>
      <c r="F139" s="995" t="s">
        <v>816</v>
      </c>
      <c r="G139" s="995" t="s">
        <v>868</v>
      </c>
      <c r="H139" s="974"/>
      <c r="I139" s="975"/>
      <c r="J139" s="975"/>
      <c r="K139" s="975"/>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5" t="s">
        <v>884</v>
      </c>
      <c r="B140" s="995" t="s">
        <v>1585</v>
      </c>
      <c r="C140" s="997">
        <v>144370.28</v>
      </c>
      <c r="D140" s="997">
        <v>0</v>
      </c>
      <c r="E140" s="997">
        <v>144370.28</v>
      </c>
      <c r="F140" s="995" t="s">
        <v>816</v>
      </c>
      <c r="G140" s="995" t="s">
        <v>885</v>
      </c>
      <c r="H140" s="974"/>
      <c r="I140" s="975"/>
      <c r="J140" s="975"/>
      <c r="K140" s="975"/>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5" t="s">
        <v>886</v>
      </c>
      <c r="B141" s="995" t="s">
        <v>1588</v>
      </c>
      <c r="C141" s="997">
        <v>-101575.02</v>
      </c>
      <c r="D141" s="997">
        <v>-225</v>
      </c>
      <c r="E141" s="997">
        <v>-101800.02</v>
      </c>
      <c r="F141" s="995" t="s">
        <v>816</v>
      </c>
      <c r="G141" s="995" t="s">
        <v>885</v>
      </c>
      <c r="H141" s="974"/>
      <c r="I141" s="975"/>
      <c r="J141" s="975"/>
      <c r="K141" s="975"/>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5" t="s">
        <v>887</v>
      </c>
      <c r="B142" s="995" t="s">
        <v>1591</v>
      </c>
      <c r="C142" s="997">
        <v>957607.11</v>
      </c>
      <c r="D142" s="997">
        <v>5143.59</v>
      </c>
      <c r="E142" s="997">
        <v>962750.7</v>
      </c>
      <c r="F142" s="995" t="s">
        <v>816</v>
      </c>
      <c r="G142" s="995" t="s">
        <v>885</v>
      </c>
      <c r="H142" s="974"/>
      <c r="I142" s="975"/>
      <c r="J142" s="975"/>
      <c r="K142" s="975"/>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5" t="s">
        <v>888</v>
      </c>
      <c r="B143" s="995" t="s">
        <v>1594</v>
      </c>
      <c r="C143" s="997">
        <v>-813921.08</v>
      </c>
      <c r="D143" s="997">
        <v>-2612</v>
      </c>
      <c r="E143" s="997">
        <v>-816533.08</v>
      </c>
      <c r="F143" s="995" t="s">
        <v>816</v>
      </c>
      <c r="G143" s="995" t="s">
        <v>885</v>
      </c>
      <c r="H143" s="974"/>
      <c r="I143" s="975"/>
      <c r="J143" s="975"/>
      <c r="K143" s="975"/>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5" t="s">
        <v>889</v>
      </c>
      <c r="B144" s="995" t="s">
        <v>1597</v>
      </c>
      <c r="C144" s="997">
        <v>47461.59</v>
      </c>
      <c r="D144" s="997">
        <v>0</v>
      </c>
      <c r="E144" s="997">
        <v>47461.59</v>
      </c>
      <c r="F144" s="995" t="s">
        <v>816</v>
      </c>
      <c r="G144" s="995" t="s">
        <v>885</v>
      </c>
      <c r="H144" s="974"/>
      <c r="I144" s="975"/>
      <c r="J144" s="975"/>
      <c r="K144" s="975"/>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5" t="s">
        <v>890</v>
      </c>
      <c r="B145" s="995" t="s">
        <v>1600</v>
      </c>
      <c r="C145" s="997">
        <v>-47494.51</v>
      </c>
      <c r="D145" s="997">
        <v>-8.5</v>
      </c>
      <c r="E145" s="997">
        <v>-47503.01</v>
      </c>
      <c r="F145" s="995" t="s">
        <v>816</v>
      </c>
      <c r="G145" s="995" t="s">
        <v>885</v>
      </c>
      <c r="H145" s="974"/>
      <c r="I145" s="974"/>
      <c r="J145" s="974"/>
      <c r="K145" s="974"/>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5" t="s">
        <v>891</v>
      </c>
      <c r="B146" s="995" t="s">
        <v>1609</v>
      </c>
      <c r="C146" s="997">
        <v>440156.49</v>
      </c>
      <c r="D146" s="997">
        <v>0</v>
      </c>
      <c r="E146" s="997">
        <v>440156.49</v>
      </c>
      <c r="F146" s="995" t="s">
        <v>816</v>
      </c>
      <c r="G146" s="995" t="s">
        <v>885</v>
      </c>
      <c r="H146" s="974"/>
      <c r="I146" s="974"/>
      <c r="J146" s="974"/>
      <c r="K146" s="974"/>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5" t="s">
        <v>892</v>
      </c>
      <c r="B147" s="995" t="s">
        <v>1612</v>
      </c>
      <c r="C147" s="997">
        <v>-407893.7</v>
      </c>
      <c r="D147" s="997">
        <v>-497</v>
      </c>
      <c r="E147" s="997">
        <v>-408390.7</v>
      </c>
      <c r="F147" s="995" t="s">
        <v>816</v>
      </c>
      <c r="G147" s="995" t="s">
        <v>885</v>
      </c>
      <c r="H147" s="974"/>
      <c r="I147" s="974"/>
      <c r="J147" s="974"/>
      <c r="K147" s="974"/>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5" t="s">
        <v>893</v>
      </c>
      <c r="B148" s="995" t="s">
        <v>1615</v>
      </c>
      <c r="C148" s="997">
        <v>3987.88</v>
      </c>
      <c r="D148" s="997">
        <v>0</v>
      </c>
      <c r="E148" s="997">
        <v>3987.88</v>
      </c>
      <c r="F148" s="995" t="s">
        <v>816</v>
      </c>
      <c r="G148" s="995" t="s">
        <v>885</v>
      </c>
      <c r="H148" s="974"/>
      <c r="I148" s="974"/>
      <c r="J148" s="974"/>
      <c r="K148" s="974"/>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5" t="s">
        <v>894</v>
      </c>
      <c r="B149" s="995" t="s">
        <v>1618</v>
      </c>
      <c r="C149" s="997">
        <v>-3987.88</v>
      </c>
      <c r="D149" s="997">
        <v>0</v>
      </c>
      <c r="E149" s="997">
        <v>-3987.88</v>
      </c>
      <c r="F149" s="995" t="s">
        <v>816</v>
      </c>
      <c r="G149" s="995" t="s">
        <v>885</v>
      </c>
      <c r="H149" s="974"/>
      <c r="I149" s="974"/>
      <c r="J149" s="974"/>
      <c r="K149" s="974"/>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5" t="s">
        <v>895</v>
      </c>
      <c r="B150" s="995" t="s">
        <v>1621</v>
      </c>
      <c r="C150" s="997">
        <v>129416.15</v>
      </c>
      <c r="D150" s="997">
        <v>0</v>
      </c>
      <c r="E150" s="997">
        <v>129416.15</v>
      </c>
      <c r="F150" s="995" t="s">
        <v>816</v>
      </c>
      <c r="G150" s="995" t="s">
        <v>885</v>
      </c>
      <c r="H150" s="974"/>
      <c r="I150" s="974"/>
      <c r="J150" s="974"/>
      <c r="K150" s="974"/>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5" t="s">
        <v>896</v>
      </c>
      <c r="B151" s="995" t="s">
        <v>1624</v>
      </c>
      <c r="C151" s="997">
        <v>-112927.43</v>
      </c>
      <c r="D151" s="997">
        <v>-972</v>
      </c>
      <c r="E151" s="997">
        <v>-113899.43</v>
      </c>
      <c r="F151" s="995" t="s">
        <v>816</v>
      </c>
      <c r="G151" s="995" t="s">
        <v>885</v>
      </c>
      <c r="H151" s="974"/>
      <c r="I151" s="974"/>
      <c r="J151" s="974"/>
      <c r="K151" s="974"/>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5" t="s">
        <v>897</v>
      </c>
      <c r="B152" s="995" t="s">
        <v>1627</v>
      </c>
      <c r="C152" s="997">
        <v>119393.66</v>
      </c>
      <c r="D152" s="997">
        <v>0</v>
      </c>
      <c r="E152" s="997">
        <v>119393.66</v>
      </c>
      <c r="F152" s="995" t="s">
        <v>816</v>
      </c>
      <c r="G152" s="995" t="s">
        <v>885</v>
      </c>
      <c r="H152" s="974"/>
      <c r="I152" s="974"/>
      <c r="J152" s="974"/>
      <c r="K152" s="974"/>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5" t="s">
        <v>898</v>
      </c>
      <c r="B153" s="995" t="s">
        <v>1630</v>
      </c>
      <c r="C153" s="997">
        <v>-119393.65</v>
      </c>
      <c r="D153" s="997">
        <v>0</v>
      </c>
      <c r="E153" s="997">
        <v>-119393.65</v>
      </c>
      <c r="F153" s="995" t="s">
        <v>816</v>
      </c>
      <c r="G153" s="995" t="s">
        <v>885</v>
      </c>
      <c r="H153" s="974"/>
      <c r="I153" s="974"/>
      <c r="J153" s="974"/>
      <c r="K153" s="974"/>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5" t="s">
        <v>3334</v>
      </c>
      <c r="B154" s="995" t="s">
        <v>899</v>
      </c>
      <c r="C154" s="997">
        <v>7173600</v>
      </c>
      <c r="D154" s="997">
        <v>0</v>
      </c>
      <c r="E154" s="997">
        <v>7173600</v>
      </c>
      <c r="F154" s="995" t="s">
        <v>816</v>
      </c>
      <c r="G154" s="995" t="s">
        <v>899</v>
      </c>
      <c r="H154" s="974"/>
      <c r="I154" s="974"/>
      <c r="J154" s="974"/>
      <c r="K154" s="974"/>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5" t="s">
        <v>900</v>
      </c>
      <c r="B155" s="995" t="s">
        <v>1635</v>
      </c>
      <c r="C155" s="997">
        <v>9036.09</v>
      </c>
      <c r="D155" s="997">
        <v>-1372.33</v>
      </c>
      <c r="E155" s="997">
        <v>7663.76</v>
      </c>
      <c r="F155" s="995" t="s">
        <v>816</v>
      </c>
      <c r="G155" s="995" t="s">
        <v>821</v>
      </c>
      <c r="H155" s="974"/>
      <c r="I155" s="974"/>
      <c r="J155" s="974"/>
      <c r="K155" s="974"/>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5" t="s">
        <v>901</v>
      </c>
      <c r="B156" s="995" t="s">
        <v>903</v>
      </c>
      <c r="C156" s="997">
        <v>-4255820.22</v>
      </c>
      <c r="D156" s="997">
        <v>1431441.99</v>
      </c>
      <c r="E156" s="997">
        <v>-2824378.23</v>
      </c>
      <c r="F156" s="995" t="s">
        <v>902</v>
      </c>
      <c r="G156" s="995" t="s">
        <v>903</v>
      </c>
      <c r="H156" s="974"/>
      <c r="I156" s="974"/>
      <c r="J156" s="974"/>
      <c r="K156" s="974"/>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5" t="s">
        <v>904</v>
      </c>
      <c r="B157" s="995" t="s">
        <v>905</v>
      </c>
      <c r="C157" s="997">
        <v>-1434674.44</v>
      </c>
      <c r="D157" s="997">
        <v>39066.93</v>
      </c>
      <c r="E157" s="997">
        <v>-1395607.51</v>
      </c>
      <c r="F157" s="995" t="s">
        <v>902</v>
      </c>
      <c r="G157" s="995" t="s">
        <v>905</v>
      </c>
      <c r="H157" s="974"/>
      <c r="I157" s="974"/>
      <c r="J157" s="974"/>
      <c r="K157" s="974"/>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5" t="s">
        <v>3666</v>
      </c>
      <c r="B158" s="995" t="s">
        <v>3373</v>
      </c>
      <c r="C158" s="997">
        <v>0</v>
      </c>
      <c r="D158" s="997">
        <v>-10831.38</v>
      </c>
      <c r="E158" s="997">
        <v>-10831.38</v>
      </c>
      <c r="F158" s="995" t="s">
        <v>902</v>
      </c>
      <c r="G158" s="995" t="s">
        <v>3667</v>
      </c>
      <c r="H158" s="974"/>
      <c r="I158" s="974"/>
      <c r="J158" s="974"/>
      <c r="K158" s="974"/>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5" t="s">
        <v>3668</v>
      </c>
      <c r="B159" s="995" t="s">
        <v>3374</v>
      </c>
      <c r="C159" s="997">
        <v>0</v>
      </c>
      <c r="D159" s="997">
        <v>-7073.76</v>
      </c>
      <c r="E159" s="997">
        <v>-7073.76</v>
      </c>
      <c r="F159" s="995" t="s">
        <v>902</v>
      </c>
      <c r="G159" s="995" t="s">
        <v>3669</v>
      </c>
      <c r="H159" s="974"/>
      <c r="I159" s="974"/>
      <c r="J159" s="974"/>
      <c r="K159" s="974"/>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5" t="s">
        <v>906</v>
      </c>
      <c r="B160" s="995" t="s">
        <v>907</v>
      </c>
      <c r="C160" s="997">
        <v>-15810</v>
      </c>
      <c r="D160" s="997">
        <v>0</v>
      </c>
      <c r="E160" s="997">
        <v>-15810</v>
      </c>
      <c r="F160" s="995" t="s">
        <v>902</v>
      </c>
      <c r="G160" s="995" t="s">
        <v>907</v>
      </c>
      <c r="H160" s="974"/>
      <c r="I160" s="975"/>
      <c r="J160" s="975"/>
      <c r="K160" s="975"/>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5" t="s">
        <v>908</v>
      </c>
      <c r="B161" s="995" t="s">
        <v>909</v>
      </c>
      <c r="C161" s="997">
        <v>-143.55000000000001</v>
      </c>
      <c r="D161" s="997">
        <v>-84.68</v>
      </c>
      <c r="E161" s="997">
        <v>-228.23</v>
      </c>
      <c r="F161" s="995" t="s">
        <v>902</v>
      </c>
      <c r="G161" s="995"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5" t="s">
        <v>910</v>
      </c>
      <c r="B162" s="995" t="s">
        <v>911</v>
      </c>
      <c r="C162" s="997">
        <v>-113015.09</v>
      </c>
      <c r="D162" s="997">
        <v>34143.129999999997</v>
      </c>
      <c r="E162" s="997">
        <v>-78871.960000000006</v>
      </c>
      <c r="F162" s="995" t="s">
        <v>902</v>
      </c>
      <c r="G162" s="995" t="s">
        <v>911</v>
      </c>
      <c r="H162" s="974"/>
      <c r="I162" s="974"/>
      <c r="J162" s="974"/>
      <c r="K162" s="974"/>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5" t="s">
        <v>912</v>
      </c>
      <c r="B163" s="995" t="s">
        <v>1652</v>
      </c>
      <c r="C163" s="997">
        <v>66563.850000000006</v>
      </c>
      <c r="D163" s="997">
        <v>-11854.02</v>
      </c>
      <c r="E163" s="997">
        <v>54709.83</v>
      </c>
      <c r="F163" s="995" t="s">
        <v>902</v>
      </c>
      <c r="G163" s="995"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5" t="s">
        <v>913</v>
      </c>
      <c r="B164" s="995" t="s">
        <v>914</v>
      </c>
      <c r="C164" s="997">
        <v>-379218</v>
      </c>
      <c r="D164" s="997">
        <v>203833.3</v>
      </c>
      <c r="E164" s="997">
        <v>-175384.7</v>
      </c>
      <c r="F164" s="995" t="s">
        <v>902</v>
      </c>
      <c r="G164" s="995" t="s">
        <v>914</v>
      </c>
      <c r="H164" s="974"/>
      <c r="I164" s="974"/>
      <c r="J164" s="974"/>
      <c r="K164" s="974"/>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5" t="s">
        <v>915</v>
      </c>
      <c r="B165" s="995" t="s">
        <v>1657</v>
      </c>
      <c r="C165" s="997">
        <v>232868.88</v>
      </c>
      <c r="D165" s="997">
        <v>-124391.82</v>
      </c>
      <c r="E165" s="997">
        <v>108477.06</v>
      </c>
      <c r="F165" s="995" t="s">
        <v>902</v>
      </c>
      <c r="G165" s="995"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5" t="s">
        <v>916</v>
      </c>
      <c r="B166" s="995" t="s">
        <v>1660</v>
      </c>
      <c r="C166" s="997">
        <v>-1464</v>
      </c>
      <c r="D166" s="997">
        <v>435</v>
      </c>
      <c r="E166" s="997">
        <v>-1029</v>
      </c>
      <c r="F166" s="995" t="s">
        <v>902</v>
      </c>
      <c r="G166" s="995" t="s">
        <v>911</v>
      </c>
      <c r="H166" s="974"/>
      <c r="I166" s="974"/>
      <c r="J166" s="974"/>
      <c r="K166" s="974"/>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5" t="s">
        <v>917</v>
      </c>
      <c r="B167" s="995" t="s">
        <v>1663</v>
      </c>
      <c r="C167" s="997">
        <v>-116317.14</v>
      </c>
      <c r="D167" s="997">
        <v>49076.67</v>
      </c>
      <c r="E167" s="997">
        <v>-67240.47</v>
      </c>
      <c r="F167" s="995" t="s">
        <v>902</v>
      </c>
      <c r="G167" s="995"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5" t="s">
        <v>919</v>
      </c>
      <c r="B168" s="995" t="s">
        <v>918</v>
      </c>
      <c r="C168" s="997">
        <v>-7750</v>
      </c>
      <c r="D168" s="997">
        <v>-610</v>
      </c>
      <c r="E168" s="997">
        <v>-8360</v>
      </c>
      <c r="F168" s="995" t="s">
        <v>902</v>
      </c>
      <c r="G168" s="995" t="s">
        <v>918</v>
      </c>
      <c r="H168" s="974"/>
      <c r="I168" s="974"/>
      <c r="J168" s="974"/>
      <c r="K168" s="974"/>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5" t="s">
        <v>920</v>
      </c>
      <c r="B169" s="995" t="s">
        <v>1668</v>
      </c>
      <c r="C169" s="997">
        <v>-45115.67</v>
      </c>
      <c r="D169" s="997">
        <v>-6864.5</v>
      </c>
      <c r="E169" s="997">
        <v>-51980.17</v>
      </c>
      <c r="F169" s="995" t="s">
        <v>902</v>
      </c>
      <c r="G169" s="995"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5" t="s">
        <v>921</v>
      </c>
      <c r="B170" s="995" t="s">
        <v>1671</v>
      </c>
      <c r="C170" s="997">
        <v>-4058.7</v>
      </c>
      <c r="D170" s="997">
        <v>-2098.25</v>
      </c>
      <c r="E170" s="997">
        <v>-6156.95</v>
      </c>
      <c r="F170" s="995" t="s">
        <v>902</v>
      </c>
      <c r="G170" s="995" t="s">
        <v>918</v>
      </c>
      <c r="H170" s="974"/>
      <c r="I170" s="974"/>
      <c r="J170" s="974"/>
      <c r="K170" s="974"/>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5" t="s">
        <v>922</v>
      </c>
      <c r="B171" s="995" t="s">
        <v>923</v>
      </c>
      <c r="C171" s="997">
        <v>-236298.28</v>
      </c>
      <c r="D171" s="997">
        <v>230775.03</v>
      </c>
      <c r="E171" s="997">
        <v>-5523.25</v>
      </c>
      <c r="F171" s="995" t="s">
        <v>902</v>
      </c>
      <c r="G171" s="995"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5" t="s">
        <v>924</v>
      </c>
      <c r="B172" s="995" t="s">
        <v>1679</v>
      </c>
      <c r="C172" s="997">
        <v>0</v>
      </c>
      <c r="D172" s="997">
        <v>-28500</v>
      </c>
      <c r="E172" s="997">
        <v>-28500</v>
      </c>
      <c r="F172" s="995" t="s">
        <v>902</v>
      </c>
      <c r="G172" s="995" t="s">
        <v>923</v>
      </c>
      <c r="H172" s="974"/>
      <c r="I172" s="974"/>
      <c r="J172" s="974"/>
      <c r="K172" s="974"/>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5" t="s">
        <v>925</v>
      </c>
      <c r="B173" s="995" t="s">
        <v>928</v>
      </c>
      <c r="C173" s="997">
        <v>-17639.5</v>
      </c>
      <c r="D173" s="997">
        <v>1793.38</v>
      </c>
      <c r="E173" s="997">
        <v>-15846.12</v>
      </c>
      <c r="F173" s="995" t="s">
        <v>902</v>
      </c>
      <c r="G173" s="995"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5" t="s">
        <v>926</v>
      </c>
      <c r="B174" s="995" t="s">
        <v>3375</v>
      </c>
      <c r="C174" s="997">
        <v>-4911.46</v>
      </c>
      <c r="D174" s="997">
        <v>112.57</v>
      </c>
      <c r="E174" s="997">
        <v>-4798.8900000000003</v>
      </c>
      <c r="F174" s="995" t="s">
        <v>902</v>
      </c>
      <c r="G174" s="995" t="s">
        <v>918</v>
      </c>
      <c r="H174" s="974"/>
      <c r="I174" s="974"/>
      <c r="J174" s="974"/>
      <c r="K174" s="974"/>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5" t="s">
        <v>927</v>
      </c>
      <c r="B175" s="995" t="s">
        <v>1684</v>
      </c>
      <c r="C175" s="997">
        <v>-536.32000000000005</v>
      </c>
      <c r="D175" s="997">
        <v>-163.53</v>
      </c>
      <c r="E175" s="997">
        <v>-699.85</v>
      </c>
      <c r="F175" s="995" t="s">
        <v>902</v>
      </c>
      <c r="G175" s="995"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5" t="s">
        <v>929</v>
      </c>
      <c r="B176" s="995" t="s">
        <v>3376</v>
      </c>
      <c r="C176" s="997">
        <v>-102214.71</v>
      </c>
      <c r="D176" s="997">
        <v>9405.65</v>
      </c>
      <c r="E176" s="997">
        <v>-92809.06</v>
      </c>
      <c r="F176" s="995" t="s">
        <v>902</v>
      </c>
      <c r="G176" s="995" t="s">
        <v>923</v>
      </c>
      <c r="H176" s="974"/>
      <c r="I176" s="974"/>
      <c r="J176" s="974"/>
      <c r="K176" s="974"/>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5" t="s">
        <v>930</v>
      </c>
      <c r="B177" s="995" t="s">
        <v>1687</v>
      </c>
      <c r="C177" s="997">
        <v>-29950</v>
      </c>
      <c r="D177" s="997">
        <v>-1250</v>
      </c>
      <c r="E177" s="997">
        <v>-31200</v>
      </c>
      <c r="F177" s="995" t="s">
        <v>902</v>
      </c>
      <c r="G177" s="995"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5" t="s">
        <v>931</v>
      </c>
      <c r="B178" s="995" t="s">
        <v>932</v>
      </c>
      <c r="C178" s="997">
        <v>11626.69</v>
      </c>
      <c r="D178" s="997">
        <v>-796.17</v>
      </c>
      <c r="E178" s="997">
        <v>10830.52</v>
      </c>
      <c r="F178" s="995" t="s">
        <v>902</v>
      </c>
      <c r="G178" s="995" t="s">
        <v>932</v>
      </c>
      <c r="H178" s="974"/>
      <c r="I178" s="974"/>
      <c r="J178" s="974"/>
      <c r="K178" s="974"/>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5" t="s">
        <v>933</v>
      </c>
      <c r="B179" s="995" t="s">
        <v>1695</v>
      </c>
      <c r="C179" s="997">
        <v>52.35</v>
      </c>
      <c r="D179" s="997">
        <v>0</v>
      </c>
      <c r="E179" s="997">
        <v>52.35</v>
      </c>
      <c r="F179" s="995" t="s">
        <v>902</v>
      </c>
      <c r="G179" s="995"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5" t="s">
        <v>934</v>
      </c>
      <c r="B180" s="995" t="s">
        <v>1701</v>
      </c>
      <c r="C180" s="997">
        <v>-25186.91</v>
      </c>
      <c r="D180" s="997">
        <v>-8075.32</v>
      </c>
      <c r="E180" s="997">
        <v>-33262.230000000003</v>
      </c>
      <c r="F180" s="995" t="s">
        <v>902</v>
      </c>
      <c r="G180" s="995" t="s">
        <v>932</v>
      </c>
      <c r="H180" s="974"/>
      <c r="I180" s="974"/>
      <c r="J180" s="974"/>
      <c r="K180" s="974"/>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5" t="s">
        <v>935</v>
      </c>
      <c r="B181" s="995" t="s">
        <v>1704</v>
      </c>
      <c r="C181" s="997">
        <v>-609.5</v>
      </c>
      <c r="D181" s="997">
        <v>-86.82</v>
      </c>
      <c r="E181" s="997">
        <v>-696.32</v>
      </c>
      <c r="F181" s="995" t="s">
        <v>902</v>
      </c>
      <c r="G181" s="995"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5" t="s">
        <v>936</v>
      </c>
      <c r="B182" s="995" t="s">
        <v>1707</v>
      </c>
      <c r="C182" s="997">
        <v>-1111.3800000000001</v>
      </c>
      <c r="D182" s="997">
        <v>-739.44</v>
      </c>
      <c r="E182" s="997">
        <v>-1850.82</v>
      </c>
      <c r="F182" s="995" t="s">
        <v>902</v>
      </c>
      <c r="G182" s="995" t="s">
        <v>932</v>
      </c>
      <c r="H182" s="974"/>
      <c r="I182" s="974"/>
      <c r="J182" s="974"/>
      <c r="K182" s="974"/>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5" t="s">
        <v>937</v>
      </c>
      <c r="B183" s="995" t="s">
        <v>938</v>
      </c>
      <c r="C183" s="997">
        <v>-17020</v>
      </c>
      <c r="D183" s="997">
        <v>-11230</v>
      </c>
      <c r="E183" s="997">
        <v>-28250</v>
      </c>
      <c r="F183" s="995" t="s">
        <v>902</v>
      </c>
      <c r="G183" s="995"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5" t="s">
        <v>939</v>
      </c>
      <c r="B184" s="995" t="s">
        <v>940</v>
      </c>
      <c r="C184" s="997">
        <v>-25676</v>
      </c>
      <c r="D184" s="997">
        <v>11626.25</v>
      </c>
      <c r="E184" s="997">
        <v>-14049.75</v>
      </c>
      <c r="F184" s="995" t="s">
        <v>902</v>
      </c>
      <c r="G184" s="995" t="s">
        <v>940</v>
      </c>
      <c r="H184" s="974"/>
      <c r="I184" s="974"/>
      <c r="J184" s="974"/>
      <c r="K184" s="974"/>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5" t="s">
        <v>941</v>
      </c>
      <c r="B185" s="995" t="s">
        <v>3377</v>
      </c>
      <c r="C185" s="997">
        <v>-604.98</v>
      </c>
      <c r="D185" s="997">
        <v>781.92</v>
      </c>
      <c r="E185" s="997">
        <v>176.94</v>
      </c>
      <c r="F185" s="995" t="s">
        <v>902</v>
      </c>
      <c r="G185" s="995"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5" t="s">
        <v>943</v>
      </c>
      <c r="B186" s="995" t="s">
        <v>944</v>
      </c>
      <c r="C186" s="997">
        <v>-285463.46000000002</v>
      </c>
      <c r="D186" s="997">
        <v>-79669.59</v>
      </c>
      <c r="E186" s="997">
        <v>-365133.05</v>
      </c>
      <c r="F186" s="995" t="s">
        <v>902</v>
      </c>
      <c r="G186" s="995" t="s">
        <v>944</v>
      </c>
      <c r="H186" s="974"/>
      <c r="I186" s="974"/>
      <c r="J186" s="974"/>
      <c r="K186" s="974"/>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5" t="s">
        <v>945</v>
      </c>
      <c r="B187" s="995" t="s">
        <v>1734</v>
      </c>
      <c r="C187" s="997">
        <v>-22211.24</v>
      </c>
      <c r="D187" s="997">
        <v>-8091.09</v>
      </c>
      <c r="E187" s="997">
        <v>-30302.33</v>
      </c>
      <c r="F187" s="995" t="s">
        <v>902</v>
      </c>
      <c r="G187" s="995"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5" t="s">
        <v>946</v>
      </c>
      <c r="B188" s="995" t="s">
        <v>1740</v>
      </c>
      <c r="C188" s="997">
        <v>-203900.22</v>
      </c>
      <c r="D188" s="997">
        <v>-32741.200000000001</v>
      </c>
      <c r="E188" s="997">
        <v>-236641.42</v>
      </c>
      <c r="F188" s="995" t="s">
        <v>902</v>
      </c>
      <c r="G188" s="995" t="s">
        <v>944</v>
      </c>
      <c r="H188" s="974"/>
      <c r="I188" s="974"/>
      <c r="J188" s="974"/>
      <c r="K188" s="974"/>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5" t="s">
        <v>947</v>
      </c>
      <c r="B189" s="995" t="s">
        <v>1743</v>
      </c>
      <c r="C189" s="997">
        <v>10294.98</v>
      </c>
      <c r="D189" s="997">
        <v>14306.85</v>
      </c>
      <c r="E189" s="997">
        <v>24601.83</v>
      </c>
      <c r="F189" s="995" t="s">
        <v>902</v>
      </c>
      <c r="G189" s="995" t="s">
        <v>944</v>
      </c>
      <c r="H189" s="974"/>
      <c r="I189" s="975"/>
      <c r="J189" s="975"/>
      <c r="K189" s="975"/>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5" t="s">
        <v>948</v>
      </c>
      <c r="B190" s="995" t="s">
        <v>949</v>
      </c>
      <c r="C190" s="997">
        <v>-80283</v>
      </c>
      <c r="D190" s="997">
        <v>18048</v>
      </c>
      <c r="E190" s="997">
        <v>-62235</v>
      </c>
      <c r="F190" s="995" t="s">
        <v>902</v>
      </c>
      <c r="G190" s="995"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5" t="s">
        <v>950</v>
      </c>
      <c r="B191" s="995" t="s">
        <v>3378</v>
      </c>
      <c r="C191" s="997">
        <v>-242566.15</v>
      </c>
      <c r="D191" s="997">
        <v>0</v>
      </c>
      <c r="E191" s="997">
        <v>-242566.15</v>
      </c>
      <c r="F191" s="995" t="s">
        <v>902</v>
      </c>
      <c r="G191" s="995" t="s">
        <v>951</v>
      </c>
      <c r="H191" s="974"/>
      <c r="I191" s="975"/>
      <c r="J191" s="975"/>
      <c r="K191" s="975"/>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5" t="s">
        <v>952</v>
      </c>
      <c r="B192" s="995" t="s">
        <v>953</v>
      </c>
      <c r="C192" s="997">
        <v>2143.75</v>
      </c>
      <c r="D192" s="997">
        <v>1317.5</v>
      </c>
      <c r="E192" s="997">
        <v>3461.25</v>
      </c>
      <c r="F192" s="995" t="s">
        <v>902</v>
      </c>
      <c r="G192" s="995"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5" t="s">
        <v>954</v>
      </c>
      <c r="B193" s="995" t="s">
        <v>955</v>
      </c>
      <c r="C193" s="997">
        <v>-19122.599999999999</v>
      </c>
      <c r="D193" s="997">
        <v>0</v>
      </c>
      <c r="E193" s="997">
        <v>-19122.599999999999</v>
      </c>
      <c r="F193" s="995" t="s">
        <v>902</v>
      </c>
      <c r="G193" s="995" t="s">
        <v>955</v>
      </c>
      <c r="H193" s="974"/>
      <c r="I193" s="975"/>
      <c r="J193" s="975"/>
      <c r="K193" s="975"/>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5" t="s">
        <v>956</v>
      </c>
      <c r="B194" s="995" t="s">
        <v>958</v>
      </c>
      <c r="C194" s="997">
        <v>-2350000</v>
      </c>
      <c r="D194" s="997">
        <v>0</v>
      </c>
      <c r="E194" s="997">
        <v>-2350000</v>
      </c>
      <c r="F194" s="995" t="s">
        <v>957</v>
      </c>
      <c r="G194" s="995"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5" t="s">
        <v>959</v>
      </c>
      <c r="B195" s="995" t="s">
        <v>1768</v>
      </c>
      <c r="C195" s="997">
        <v>-1723617</v>
      </c>
      <c r="D195" s="997">
        <v>0</v>
      </c>
      <c r="E195" s="997">
        <v>-1723617</v>
      </c>
      <c r="F195" s="995" t="s">
        <v>957</v>
      </c>
      <c r="G195" s="995" t="s">
        <v>958</v>
      </c>
      <c r="H195" s="974"/>
      <c r="I195" s="975"/>
      <c r="J195" s="975"/>
      <c r="K195" s="975"/>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5" t="s">
        <v>960</v>
      </c>
      <c r="B196" s="995" t="s">
        <v>1771</v>
      </c>
      <c r="C196" s="997">
        <v>-347547.5</v>
      </c>
      <c r="D196" s="997">
        <v>0</v>
      </c>
      <c r="E196" s="997">
        <v>-347547.5</v>
      </c>
      <c r="F196" s="995" t="s">
        <v>957</v>
      </c>
      <c r="G196" s="995"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5" t="s">
        <v>961</v>
      </c>
      <c r="B197" s="995" t="s">
        <v>1795</v>
      </c>
      <c r="C197" s="997">
        <v>-3068758.8</v>
      </c>
      <c r="D197" s="997">
        <v>0</v>
      </c>
      <c r="E197" s="997">
        <v>-3068758.8</v>
      </c>
      <c r="F197" s="995" t="s">
        <v>957</v>
      </c>
      <c r="G197" s="995" t="s">
        <v>958</v>
      </c>
      <c r="H197" s="974"/>
      <c r="I197" s="975"/>
      <c r="J197" s="975"/>
      <c r="K197" s="975"/>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5" t="s">
        <v>962</v>
      </c>
      <c r="B198" s="995" t="s">
        <v>964</v>
      </c>
      <c r="C198" s="997">
        <v>-4072416.36</v>
      </c>
      <c r="D198" s="997">
        <v>-157823.97</v>
      </c>
      <c r="E198" s="997">
        <v>-4230240.33</v>
      </c>
      <c r="F198" s="995" t="s">
        <v>963</v>
      </c>
      <c r="G198" s="995"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5" t="s">
        <v>967</v>
      </c>
      <c r="B199" s="995" t="s">
        <v>968</v>
      </c>
      <c r="C199" s="997">
        <v>-343139.26</v>
      </c>
      <c r="D199" s="997">
        <v>0</v>
      </c>
      <c r="E199" s="997">
        <v>-343139.26</v>
      </c>
      <c r="F199" s="995" t="s">
        <v>963</v>
      </c>
      <c r="G199" s="995" t="s">
        <v>968</v>
      </c>
      <c r="H199" s="974"/>
      <c r="I199" s="975"/>
      <c r="J199" s="975"/>
      <c r="K199" s="975"/>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5" t="s">
        <v>971</v>
      </c>
      <c r="B200" s="995" t="s">
        <v>972</v>
      </c>
      <c r="C200" s="997">
        <v>-1504563.89</v>
      </c>
      <c r="D200" s="997">
        <v>-209692.07</v>
      </c>
      <c r="E200" s="997">
        <v>-1714255.96</v>
      </c>
      <c r="F200" s="995" t="s">
        <v>963</v>
      </c>
      <c r="G200" s="995"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5" t="s">
        <v>974</v>
      </c>
      <c r="B201" s="995" t="s">
        <v>3379</v>
      </c>
      <c r="C201" s="997">
        <v>-3841289.47</v>
      </c>
      <c r="D201" s="997">
        <v>-76944.42</v>
      </c>
      <c r="E201" s="997">
        <v>-3918233.89</v>
      </c>
      <c r="F201" s="995" t="s">
        <v>963</v>
      </c>
      <c r="G201" s="995" t="s">
        <v>975</v>
      </c>
      <c r="H201" s="974"/>
      <c r="I201" s="975"/>
      <c r="J201" s="975"/>
      <c r="K201" s="975"/>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5" t="s">
        <v>979</v>
      </c>
      <c r="B202" s="995" t="s">
        <v>980</v>
      </c>
      <c r="C202" s="997">
        <v>-3882401.56</v>
      </c>
      <c r="D202" s="997">
        <v>-120161.91</v>
      </c>
      <c r="E202" s="997">
        <v>-4002563.47</v>
      </c>
      <c r="F202" s="995" t="s">
        <v>963</v>
      </c>
      <c r="G202" s="995"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5" t="s">
        <v>983</v>
      </c>
      <c r="B203" s="995" t="s">
        <v>3348</v>
      </c>
      <c r="C203" s="997">
        <v>-136159.35</v>
      </c>
      <c r="D203" s="997">
        <v>0</v>
      </c>
      <c r="E203" s="997">
        <v>-136159.35</v>
      </c>
      <c r="F203" s="995" t="s">
        <v>963</v>
      </c>
      <c r="G203" s="995" t="s">
        <v>3348</v>
      </c>
      <c r="H203" s="974"/>
      <c r="I203" s="975"/>
      <c r="J203" s="975"/>
      <c r="K203" s="975"/>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5" t="s">
        <v>986</v>
      </c>
      <c r="B204" s="995" t="s">
        <v>987</v>
      </c>
      <c r="C204" s="997">
        <v>-745869.72</v>
      </c>
      <c r="D204" s="997">
        <v>0</v>
      </c>
      <c r="E204" s="997">
        <v>-745869.72</v>
      </c>
      <c r="F204" s="995" t="s">
        <v>963</v>
      </c>
      <c r="G204" s="995"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5" t="s">
        <v>990</v>
      </c>
      <c r="B205" s="995" t="s">
        <v>991</v>
      </c>
      <c r="C205" s="997">
        <v>-7675601.3700000001</v>
      </c>
      <c r="D205" s="997">
        <v>-1052891.29</v>
      </c>
      <c r="E205" s="997">
        <v>-8728492.6600000001</v>
      </c>
      <c r="F205" s="995" t="s">
        <v>963</v>
      </c>
      <c r="G205" s="995" t="s">
        <v>991</v>
      </c>
      <c r="H205" s="974"/>
      <c r="I205" s="975"/>
      <c r="J205" s="975"/>
      <c r="K205" s="975"/>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5" t="s">
        <v>994</v>
      </c>
      <c r="B206" s="995" t="s">
        <v>995</v>
      </c>
      <c r="C206" s="997">
        <v>-648565.75</v>
      </c>
      <c r="D206" s="997">
        <v>0</v>
      </c>
      <c r="E206" s="997">
        <v>-648565.75</v>
      </c>
      <c r="F206" s="995" t="s">
        <v>963</v>
      </c>
      <c r="G206" s="995"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5" t="s">
        <v>998</v>
      </c>
      <c r="B207" s="995" t="s">
        <v>999</v>
      </c>
      <c r="C207" s="997">
        <v>-1634702.63</v>
      </c>
      <c r="D207" s="997">
        <v>-100957.09</v>
      </c>
      <c r="E207" s="997">
        <v>-1735659.72</v>
      </c>
      <c r="F207" s="995" t="s">
        <v>963</v>
      </c>
      <c r="G207" s="995" t="s">
        <v>999</v>
      </c>
      <c r="H207" s="974"/>
      <c r="I207" s="975"/>
      <c r="J207" s="975"/>
      <c r="K207" s="975"/>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5" t="s">
        <v>1002</v>
      </c>
      <c r="B208" s="995" t="s">
        <v>3380</v>
      </c>
      <c r="C208" s="997">
        <v>-696802.81</v>
      </c>
      <c r="D208" s="997">
        <v>0</v>
      </c>
      <c r="E208" s="997">
        <v>-696802.81</v>
      </c>
      <c r="F208" s="995" t="s">
        <v>963</v>
      </c>
      <c r="G208" s="995"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5" t="s">
        <v>1006</v>
      </c>
      <c r="B209" s="995" t="s">
        <v>1007</v>
      </c>
      <c r="C209" s="997">
        <v>-9637209.8800000008</v>
      </c>
      <c r="D209" s="997">
        <v>-594776</v>
      </c>
      <c r="E209" s="997">
        <v>-10231985.880000001</v>
      </c>
      <c r="F209" s="995" t="s">
        <v>963</v>
      </c>
      <c r="G209" s="995" t="s">
        <v>1007</v>
      </c>
      <c r="H209" s="974"/>
      <c r="I209" s="975"/>
      <c r="J209" s="975"/>
      <c r="K209" s="975"/>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5" t="s">
        <v>1010</v>
      </c>
      <c r="B210" s="995" t="s">
        <v>1011</v>
      </c>
      <c r="C210" s="997">
        <v>0</v>
      </c>
      <c r="D210" s="997">
        <v>-22197</v>
      </c>
      <c r="E210" s="997">
        <v>-22197</v>
      </c>
      <c r="F210" s="995" t="s">
        <v>963</v>
      </c>
      <c r="G210" s="995" t="s">
        <v>1011</v>
      </c>
      <c r="H210" s="974"/>
      <c r="I210" s="976"/>
      <c r="J210" s="974"/>
      <c r="K210" s="976"/>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5" t="s">
        <v>1014</v>
      </c>
      <c r="B211" s="995" t="s">
        <v>1933</v>
      </c>
      <c r="C211" s="997">
        <v>-184645</v>
      </c>
      <c r="D211" s="997">
        <v>0</v>
      </c>
      <c r="E211" s="997">
        <v>-184645</v>
      </c>
      <c r="F211" s="995" t="s">
        <v>963</v>
      </c>
      <c r="G211" s="995"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5" t="s">
        <v>1018</v>
      </c>
      <c r="B212" s="995" t="s">
        <v>1942</v>
      </c>
      <c r="C212" s="997">
        <v>-5759812</v>
      </c>
      <c r="D212" s="997">
        <v>-557925</v>
      </c>
      <c r="E212" s="997">
        <v>-6317737</v>
      </c>
      <c r="F212" s="995" t="s">
        <v>963</v>
      </c>
      <c r="G212" s="995" t="s">
        <v>1019</v>
      </c>
      <c r="H212" s="974"/>
      <c r="I212" s="974"/>
      <c r="J212" s="974"/>
      <c r="K212" s="974"/>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5" t="s">
        <v>3670</v>
      </c>
      <c r="B213" s="995" t="s">
        <v>1023</v>
      </c>
      <c r="C213" s="997">
        <v>-1507998.11</v>
      </c>
      <c r="D213" s="997">
        <v>-117635.87</v>
      </c>
      <c r="E213" s="997">
        <v>-1625633.98</v>
      </c>
      <c r="F213" s="995" t="s">
        <v>963</v>
      </c>
      <c r="G213" s="995"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5" t="s">
        <v>1025</v>
      </c>
      <c r="B214" s="995" t="s">
        <v>1026</v>
      </c>
      <c r="C214" s="997">
        <v>-8450.01</v>
      </c>
      <c r="D214" s="997">
        <v>-14.55</v>
      </c>
      <c r="E214" s="997">
        <v>-8464.56</v>
      </c>
      <c r="F214" s="995" t="s">
        <v>963</v>
      </c>
      <c r="G214" s="995" t="s">
        <v>1026</v>
      </c>
      <c r="H214" s="974"/>
      <c r="I214" s="974"/>
      <c r="J214" s="974"/>
      <c r="K214" s="974"/>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5" t="s">
        <v>3671</v>
      </c>
      <c r="B215" s="995" t="s">
        <v>1028</v>
      </c>
      <c r="C215" s="997">
        <v>-449305.62</v>
      </c>
      <c r="D215" s="997">
        <v>-32607.37</v>
      </c>
      <c r="E215" s="997">
        <v>-481912.99</v>
      </c>
      <c r="F215" s="995" t="s">
        <v>963</v>
      </c>
      <c r="G215" s="995" t="s">
        <v>1028</v>
      </c>
      <c r="H215" s="974"/>
      <c r="I215" s="975"/>
      <c r="J215" s="975"/>
      <c r="K215" s="975"/>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5" t="s">
        <v>3672</v>
      </c>
      <c r="B216" s="995" t="s">
        <v>1031</v>
      </c>
      <c r="C216" s="997">
        <v>-522640.16</v>
      </c>
      <c r="D216" s="997">
        <v>-42675.5</v>
      </c>
      <c r="E216" s="997">
        <v>-565315.66</v>
      </c>
      <c r="F216" s="995" t="s">
        <v>963</v>
      </c>
      <c r="G216" s="995"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5" t="s">
        <v>1033</v>
      </c>
      <c r="B217" s="995" t="s">
        <v>1974</v>
      </c>
      <c r="C217" s="997">
        <v>-270764.46999999997</v>
      </c>
      <c r="D217" s="997">
        <v>-18177.72</v>
      </c>
      <c r="E217" s="997">
        <v>-288942.19</v>
      </c>
      <c r="F217" s="995" t="s">
        <v>963</v>
      </c>
      <c r="G217" s="995" t="s">
        <v>1034</v>
      </c>
      <c r="H217" s="974"/>
      <c r="I217" s="975"/>
      <c r="J217" s="975"/>
      <c r="K217" s="975"/>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5" t="s">
        <v>1036</v>
      </c>
      <c r="B218" s="995" t="s">
        <v>1037</v>
      </c>
      <c r="C218" s="997">
        <v>-20976.89</v>
      </c>
      <c r="D218" s="997">
        <v>-3116.04</v>
      </c>
      <c r="E218" s="997">
        <v>-24092.93</v>
      </c>
      <c r="F218" s="995" t="s">
        <v>963</v>
      </c>
      <c r="G218" s="995"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5" t="s">
        <v>1039</v>
      </c>
      <c r="B219" s="995" t="s">
        <v>1040</v>
      </c>
      <c r="C219" s="997">
        <v>-16378.54</v>
      </c>
      <c r="D219" s="997">
        <v>-5120.8999999999996</v>
      </c>
      <c r="E219" s="997">
        <v>-21499.439999999999</v>
      </c>
      <c r="F219" s="995" t="s">
        <v>963</v>
      </c>
      <c r="G219" s="995" t="s">
        <v>1040</v>
      </c>
      <c r="H219" s="974"/>
      <c r="I219" s="975"/>
      <c r="J219" s="975"/>
      <c r="K219" s="975"/>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5" t="s">
        <v>1043</v>
      </c>
      <c r="B220" s="995" t="s">
        <v>1044</v>
      </c>
      <c r="C220" s="997">
        <v>-224279.54</v>
      </c>
      <c r="D220" s="997">
        <v>-12324.22</v>
      </c>
      <c r="E220" s="997">
        <v>-236603.76</v>
      </c>
      <c r="F220" s="995" t="s">
        <v>963</v>
      </c>
      <c r="G220" s="995"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5" t="s">
        <v>1047</v>
      </c>
      <c r="B221" s="995" t="s">
        <v>3333</v>
      </c>
      <c r="C221" s="997">
        <v>-5600</v>
      </c>
      <c r="D221" s="997">
        <v>0</v>
      </c>
      <c r="E221" s="997">
        <v>-5600</v>
      </c>
      <c r="F221" s="995" t="s">
        <v>963</v>
      </c>
      <c r="G221" s="995" t="s">
        <v>3333</v>
      </c>
      <c r="H221" s="974"/>
      <c r="I221" s="975"/>
      <c r="J221" s="975"/>
      <c r="K221" s="975"/>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5" t="s">
        <v>1050</v>
      </c>
      <c r="B222" s="995" t="s">
        <v>1051</v>
      </c>
      <c r="C222" s="997">
        <v>-402359.43</v>
      </c>
      <c r="D222" s="997">
        <v>-21309.73</v>
      </c>
      <c r="E222" s="997">
        <v>-423669.16</v>
      </c>
      <c r="F222" s="995" t="s">
        <v>963</v>
      </c>
      <c r="G222" s="995"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5" t="s">
        <v>1054</v>
      </c>
      <c r="B223" s="995" t="s">
        <v>1055</v>
      </c>
      <c r="C223" s="997">
        <v>-632376.15</v>
      </c>
      <c r="D223" s="997">
        <v>-45682.63</v>
      </c>
      <c r="E223" s="997">
        <v>-678058.78</v>
      </c>
      <c r="F223" s="995" t="s">
        <v>963</v>
      </c>
      <c r="G223" s="995" t="s">
        <v>1055</v>
      </c>
      <c r="H223" s="974"/>
      <c r="I223" s="975"/>
      <c r="J223" s="975"/>
      <c r="K223" s="975"/>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5" t="s">
        <v>1058</v>
      </c>
      <c r="B224" s="995" t="s">
        <v>1059</v>
      </c>
      <c r="C224" s="997">
        <v>-62554.69</v>
      </c>
      <c r="D224" s="997">
        <v>-4230.28</v>
      </c>
      <c r="E224" s="997">
        <v>-66784.97</v>
      </c>
      <c r="F224" s="995" t="s">
        <v>963</v>
      </c>
      <c r="G224" s="995"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5" t="s">
        <v>3673</v>
      </c>
      <c r="B225" s="995" t="s">
        <v>1063</v>
      </c>
      <c r="C225" s="997">
        <v>-848710.64</v>
      </c>
      <c r="D225" s="997">
        <v>-81455.14</v>
      </c>
      <c r="E225" s="997">
        <v>-930165.78</v>
      </c>
      <c r="F225" s="995" t="s">
        <v>963</v>
      </c>
      <c r="G225" s="995" t="s">
        <v>1063</v>
      </c>
      <c r="H225" s="974"/>
      <c r="I225" s="975"/>
      <c r="J225" s="975"/>
      <c r="K225" s="975"/>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5" t="s">
        <v>1066</v>
      </c>
      <c r="B226" s="995" t="s">
        <v>1067</v>
      </c>
      <c r="C226" s="997">
        <v>-7825.75</v>
      </c>
      <c r="D226" s="997">
        <v>-322.64999999999998</v>
      </c>
      <c r="E226" s="997">
        <v>-8148.4</v>
      </c>
      <c r="F226" s="995" t="s">
        <v>963</v>
      </c>
      <c r="G226" s="995"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5" t="s">
        <v>3674</v>
      </c>
      <c r="B227" s="995" t="s">
        <v>1069</v>
      </c>
      <c r="C227" s="997">
        <v>-653979.53</v>
      </c>
      <c r="D227" s="997">
        <v>-53458.95</v>
      </c>
      <c r="E227" s="997">
        <v>-707438.48</v>
      </c>
      <c r="F227" s="995" t="s">
        <v>963</v>
      </c>
      <c r="G227" s="995" t="s">
        <v>1069</v>
      </c>
      <c r="H227" s="974"/>
      <c r="I227" s="975"/>
      <c r="J227" s="975"/>
      <c r="K227" s="975"/>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5" t="s">
        <v>3675</v>
      </c>
      <c r="B228" s="995" t="s">
        <v>1073</v>
      </c>
      <c r="C228" s="997">
        <v>-485869.45</v>
      </c>
      <c r="D228" s="997">
        <v>-35063.86</v>
      </c>
      <c r="E228" s="997">
        <v>-520933.31</v>
      </c>
      <c r="F228" s="995" t="s">
        <v>963</v>
      </c>
      <c r="G228" s="995"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5" t="s">
        <v>3676</v>
      </c>
      <c r="B229" s="995" t="s">
        <v>1076</v>
      </c>
      <c r="C229" s="997">
        <v>-7495.48</v>
      </c>
      <c r="D229" s="997">
        <v>-99.9</v>
      </c>
      <c r="E229" s="997">
        <v>-7595.38</v>
      </c>
      <c r="F229" s="995" t="s">
        <v>963</v>
      </c>
      <c r="G229" s="995" t="s">
        <v>1076</v>
      </c>
      <c r="H229" s="974"/>
      <c r="I229" s="975"/>
      <c r="J229" s="975"/>
      <c r="K229" s="975"/>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5" t="s">
        <v>1077</v>
      </c>
      <c r="B230" s="995" t="s">
        <v>1142</v>
      </c>
      <c r="C230" s="997">
        <v>-28025.83</v>
      </c>
      <c r="D230" s="997">
        <v>-2161.19</v>
      </c>
      <c r="E230" s="997">
        <v>-30187.02</v>
      </c>
      <c r="F230" s="995" t="s">
        <v>963</v>
      </c>
      <c r="G230" s="995" t="s">
        <v>1078</v>
      </c>
      <c r="H230" s="974"/>
      <c r="I230" s="976"/>
      <c r="J230" s="974"/>
      <c r="K230" s="976"/>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5" t="s">
        <v>1081</v>
      </c>
      <c r="B231" s="995" t="s">
        <v>3382</v>
      </c>
      <c r="C231" s="997">
        <v>-247.19</v>
      </c>
      <c r="D231" s="997">
        <v>0</v>
      </c>
      <c r="E231" s="997">
        <v>-247.19</v>
      </c>
      <c r="F231" s="995" t="s">
        <v>963</v>
      </c>
      <c r="G231" s="995" t="s">
        <v>3382</v>
      </c>
      <c r="H231" s="974"/>
      <c r="I231" s="975"/>
      <c r="J231" s="975"/>
      <c r="K231" s="975"/>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5" t="s">
        <v>3677</v>
      </c>
      <c r="B232" s="995" t="s">
        <v>1086</v>
      </c>
      <c r="C232" s="997">
        <v>-112336.03</v>
      </c>
      <c r="D232" s="997">
        <v>-3252.45</v>
      </c>
      <c r="E232" s="997">
        <v>-115588.48</v>
      </c>
      <c r="F232" s="995" t="s">
        <v>963</v>
      </c>
      <c r="G232" s="995" t="s">
        <v>1086</v>
      </c>
      <c r="H232" s="974"/>
      <c r="I232" s="976"/>
      <c r="J232" s="974"/>
      <c r="K232" s="976"/>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5" t="s">
        <v>3678</v>
      </c>
      <c r="B233" s="995" t="s">
        <v>1090</v>
      </c>
      <c r="C233" s="997">
        <v>-501877.03</v>
      </c>
      <c r="D233" s="997">
        <v>-34843.68</v>
      </c>
      <c r="E233" s="997">
        <v>-536720.71</v>
      </c>
      <c r="F233" s="995" t="s">
        <v>963</v>
      </c>
      <c r="G233" s="995" t="s">
        <v>1090</v>
      </c>
      <c r="H233" s="974"/>
      <c r="I233" s="975"/>
      <c r="J233" s="975"/>
      <c r="K233" s="975"/>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5" t="s">
        <v>3679</v>
      </c>
      <c r="B234" s="995" t="s">
        <v>1094</v>
      </c>
      <c r="C234" s="997">
        <v>-14970.18</v>
      </c>
      <c r="D234" s="997">
        <v>-250.81</v>
      </c>
      <c r="E234" s="997">
        <v>-15220.99</v>
      </c>
      <c r="F234" s="995" t="s">
        <v>963</v>
      </c>
      <c r="G234" s="995" t="s">
        <v>1094</v>
      </c>
      <c r="H234" s="974"/>
      <c r="I234" s="976"/>
      <c r="J234" s="974"/>
      <c r="K234" s="976"/>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5" t="s">
        <v>1097</v>
      </c>
      <c r="B235" s="995" t="s">
        <v>1098</v>
      </c>
      <c r="C235" s="997">
        <v>-193680.58</v>
      </c>
      <c r="D235" s="997">
        <v>-15141.81</v>
      </c>
      <c r="E235" s="997">
        <v>-208822.39</v>
      </c>
      <c r="F235" s="995" t="s">
        <v>963</v>
      </c>
      <c r="G235" s="995" t="s">
        <v>1098</v>
      </c>
      <c r="H235" s="974"/>
      <c r="I235" s="975"/>
      <c r="J235" s="975"/>
      <c r="K235" s="975"/>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5" t="s">
        <v>1101</v>
      </c>
      <c r="B236" s="995" t="s">
        <v>1102</v>
      </c>
      <c r="C236" s="997">
        <v>-924658.91</v>
      </c>
      <c r="D236" s="997">
        <v>-86945.99</v>
      </c>
      <c r="E236" s="997">
        <v>-1011604.9</v>
      </c>
      <c r="F236" s="995" t="s">
        <v>963</v>
      </c>
      <c r="G236" s="995" t="s">
        <v>1102</v>
      </c>
      <c r="H236" s="974"/>
      <c r="I236" s="976"/>
      <c r="J236" s="974"/>
      <c r="K236" s="976"/>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5" t="s">
        <v>1105</v>
      </c>
      <c r="B237" s="995" t="s">
        <v>1106</v>
      </c>
      <c r="C237" s="997">
        <v>-467451.74</v>
      </c>
      <c r="D237" s="997">
        <v>-52653.82</v>
      </c>
      <c r="E237" s="997">
        <v>-520105.56</v>
      </c>
      <c r="F237" s="995" t="s">
        <v>963</v>
      </c>
      <c r="G237" s="995" t="s">
        <v>1106</v>
      </c>
      <c r="H237" s="974"/>
      <c r="I237" s="975"/>
      <c r="J237" s="975"/>
      <c r="K237" s="975"/>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5" t="s">
        <v>1108</v>
      </c>
      <c r="B238" s="995" t="s">
        <v>2050</v>
      </c>
      <c r="C238" s="997">
        <v>-7308.02</v>
      </c>
      <c r="D238" s="997">
        <v>-5238.8599999999997</v>
      </c>
      <c r="E238" s="997">
        <v>-12546.88</v>
      </c>
      <c r="F238" s="995" t="s">
        <v>963</v>
      </c>
      <c r="G238" s="995" t="s">
        <v>1106</v>
      </c>
      <c r="H238" s="974"/>
      <c r="I238" s="976"/>
      <c r="J238" s="974"/>
      <c r="K238" s="976"/>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5" t="s">
        <v>1109</v>
      </c>
      <c r="B239" s="995" t="s">
        <v>2058</v>
      </c>
      <c r="C239" s="997">
        <v>3936009.74</v>
      </c>
      <c r="D239" s="997">
        <v>150643.4</v>
      </c>
      <c r="E239" s="997">
        <v>4086653.14</v>
      </c>
      <c r="F239" s="995" t="s">
        <v>1110</v>
      </c>
      <c r="G239" s="995" t="s">
        <v>964</v>
      </c>
      <c r="H239" s="974"/>
      <c r="I239" s="975"/>
      <c r="J239" s="975"/>
      <c r="K239" s="975"/>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5" t="s">
        <v>1111</v>
      </c>
      <c r="B240" s="995" t="s">
        <v>2070</v>
      </c>
      <c r="C240" s="997">
        <v>308970.82</v>
      </c>
      <c r="D240" s="997">
        <v>0</v>
      </c>
      <c r="E240" s="997">
        <v>308970.82</v>
      </c>
      <c r="F240" s="995" t="s">
        <v>1110</v>
      </c>
      <c r="G240" s="995" t="s">
        <v>968</v>
      </c>
      <c r="H240" s="974"/>
      <c r="I240" s="976"/>
      <c r="J240" s="974"/>
      <c r="K240" s="976"/>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5" t="s">
        <v>971</v>
      </c>
      <c r="B241" s="995" t="s">
        <v>2075</v>
      </c>
      <c r="C241" s="997">
        <v>1391371.97</v>
      </c>
      <c r="D241" s="997">
        <v>200240.03</v>
      </c>
      <c r="E241" s="997">
        <v>1591612</v>
      </c>
      <c r="F241" s="995" t="s">
        <v>1110</v>
      </c>
      <c r="G241" s="995" t="s">
        <v>972</v>
      </c>
      <c r="H241" s="974"/>
      <c r="I241" s="975"/>
      <c r="J241" s="975"/>
      <c r="K241" s="975"/>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5" t="s">
        <v>1112</v>
      </c>
      <c r="B242" s="995" t="s">
        <v>3383</v>
      </c>
      <c r="C242" s="997">
        <v>3590111.14</v>
      </c>
      <c r="D242" s="997">
        <v>73816.33</v>
      </c>
      <c r="E242" s="997">
        <v>3663927.47</v>
      </c>
      <c r="F242" s="995" t="s">
        <v>1110</v>
      </c>
      <c r="G242" s="995" t="s">
        <v>1113</v>
      </c>
      <c r="H242" s="974"/>
      <c r="I242" s="975"/>
      <c r="J242" s="975"/>
      <c r="K242" s="975"/>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5" t="s">
        <v>1114</v>
      </c>
      <c r="B243" s="995" t="s">
        <v>2084</v>
      </c>
      <c r="C243" s="997">
        <v>3579760.93</v>
      </c>
      <c r="D243" s="997">
        <v>114585.37</v>
      </c>
      <c r="E243" s="997">
        <v>3694346.3</v>
      </c>
      <c r="F243" s="995" t="s">
        <v>1110</v>
      </c>
      <c r="G243" s="995" t="s">
        <v>980</v>
      </c>
      <c r="H243" s="974"/>
      <c r="I243" s="975"/>
      <c r="J243" s="975"/>
      <c r="K243" s="975"/>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5" t="s">
        <v>1115</v>
      </c>
      <c r="B244" s="995" t="s">
        <v>3384</v>
      </c>
      <c r="C244" s="997">
        <v>126137.85</v>
      </c>
      <c r="D244" s="997">
        <v>0</v>
      </c>
      <c r="E244" s="997">
        <v>126137.85</v>
      </c>
      <c r="F244" s="995" t="s">
        <v>1110</v>
      </c>
      <c r="G244" s="995" t="s">
        <v>3348</v>
      </c>
      <c r="H244" s="974"/>
      <c r="I244" s="975"/>
      <c r="J244" s="975"/>
      <c r="K244" s="975"/>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5" t="s">
        <v>1116</v>
      </c>
      <c r="B245" s="995" t="s">
        <v>2090</v>
      </c>
      <c r="C245" s="997">
        <v>700204.34</v>
      </c>
      <c r="D245" s="997">
        <v>0</v>
      </c>
      <c r="E245" s="997">
        <v>700204.34</v>
      </c>
      <c r="F245" s="995" t="s">
        <v>1110</v>
      </c>
      <c r="G245" s="995" t="s">
        <v>987</v>
      </c>
      <c r="H245" s="974"/>
      <c r="I245" s="975"/>
      <c r="J245" s="975"/>
      <c r="K245" s="975"/>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5" t="s">
        <v>1117</v>
      </c>
      <c r="B246" s="995" t="s">
        <v>2093</v>
      </c>
      <c r="C246" s="997">
        <v>7127981.9500000002</v>
      </c>
      <c r="D246" s="997">
        <v>1002585.66</v>
      </c>
      <c r="E246" s="997">
        <v>8130567.6100000003</v>
      </c>
      <c r="F246" s="995" t="s">
        <v>1110</v>
      </c>
      <c r="G246" s="995" t="s">
        <v>991</v>
      </c>
      <c r="H246" s="974"/>
      <c r="I246" s="975"/>
      <c r="J246" s="975"/>
      <c r="K246" s="975"/>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5" t="s">
        <v>1118</v>
      </c>
      <c r="B247" s="995" t="s">
        <v>2099</v>
      </c>
      <c r="C247" s="997">
        <v>612020.26</v>
      </c>
      <c r="D247" s="997">
        <v>0</v>
      </c>
      <c r="E247" s="997">
        <v>612020.26</v>
      </c>
      <c r="F247" s="995" t="s">
        <v>1110</v>
      </c>
      <c r="G247" s="995" t="s">
        <v>995</v>
      </c>
      <c r="H247" s="974"/>
      <c r="I247" s="975"/>
      <c r="J247" s="975"/>
      <c r="K247" s="975"/>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5" t="s">
        <v>1118</v>
      </c>
      <c r="B248" s="995" t="s">
        <v>2102</v>
      </c>
      <c r="C248" s="997">
        <v>1495822.7</v>
      </c>
      <c r="D248" s="997">
        <v>88846.22</v>
      </c>
      <c r="E248" s="997">
        <v>1584668.92</v>
      </c>
      <c r="F248" s="995" t="s">
        <v>1110</v>
      </c>
      <c r="G248" s="995" t="s">
        <v>999</v>
      </c>
      <c r="H248" s="974"/>
      <c r="I248" s="975"/>
      <c r="J248" s="975"/>
      <c r="K248" s="975"/>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5" t="s">
        <v>1119</v>
      </c>
      <c r="B249" s="995" t="s">
        <v>3385</v>
      </c>
      <c r="C249" s="997">
        <v>638243.43999999994</v>
      </c>
      <c r="D249" s="997">
        <v>0</v>
      </c>
      <c r="E249" s="997">
        <v>638243.43999999994</v>
      </c>
      <c r="F249" s="995" t="s">
        <v>1110</v>
      </c>
      <c r="G249" s="995" t="s">
        <v>1120</v>
      </c>
      <c r="H249" s="974"/>
      <c r="I249" s="975"/>
      <c r="J249" s="975"/>
      <c r="K249" s="975"/>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5" t="s">
        <v>1121</v>
      </c>
      <c r="B250" s="995" t="s">
        <v>2113</v>
      </c>
      <c r="C250" s="997">
        <v>8252786.2000000002</v>
      </c>
      <c r="D250" s="997">
        <v>543756.91</v>
      </c>
      <c r="E250" s="997">
        <v>8796543.1099999994</v>
      </c>
      <c r="F250" s="995" t="s">
        <v>1110</v>
      </c>
      <c r="G250" s="995" t="s">
        <v>1007</v>
      </c>
      <c r="H250" s="974"/>
      <c r="I250" s="975"/>
      <c r="J250" s="975"/>
      <c r="K250" s="975"/>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5" t="s">
        <v>1122</v>
      </c>
      <c r="B251" s="995" t="s">
        <v>2116</v>
      </c>
      <c r="C251" s="997">
        <v>680296.63</v>
      </c>
      <c r="D251" s="997">
        <v>46014.91</v>
      </c>
      <c r="E251" s="997">
        <v>726311.54</v>
      </c>
      <c r="F251" s="995" t="s">
        <v>1110</v>
      </c>
      <c r="G251" s="995" t="s">
        <v>1007</v>
      </c>
      <c r="H251" s="974"/>
      <c r="I251" s="975"/>
      <c r="J251" s="975"/>
      <c r="K251" s="975"/>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5" t="s">
        <v>1123</v>
      </c>
      <c r="B252" s="995" t="s">
        <v>2122</v>
      </c>
      <c r="C252" s="997">
        <v>0</v>
      </c>
      <c r="D252" s="997">
        <v>20600</v>
      </c>
      <c r="E252" s="997">
        <v>20600</v>
      </c>
      <c r="F252" s="995" t="s">
        <v>1110</v>
      </c>
      <c r="G252" s="995" t="s">
        <v>1011</v>
      </c>
      <c r="H252" s="974"/>
      <c r="I252" s="975"/>
      <c r="J252" s="975"/>
      <c r="K252" s="975"/>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5" t="s">
        <v>1124</v>
      </c>
      <c r="B253" s="995" t="s">
        <v>2125</v>
      </c>
      <c r="C253" s="997">
        <v>0</v>
      </c>
      <c r="D253" s="997">
        <v>547.1</v>
      </c>
      <c r="E253" s="997">
        <v>547.1</v>
      </c>
      <c r="F253" s="995" t="s">
        <v>1110</v>
      </c>
      <c r="G253" s="995" t="s">
        <v>1011</v>
      </c>
      <c r="H253" s="974"/>
      <c r="I253" s="975"/>
      <c r="J253" s="975"/>
      <c r="K253" s="975"/>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5" t="s">
        <v>1014</v>
      </c>
      <c r="B254" s="995" t="s">
        <v>2136</v>
      </c>
      <c r="C254" s="997">
        <v>155147.42000000001</v>
      </c>
      <c r="D254" s="997">
        <v>0</v>
      </c>
      <c r="E254" s="997">
        <v>155147.42000000001</v>
      </c>
      <c r="F254" s="995" t="s">
        <v>1110</v>
      </c>
      <c r="G254" s="995" t="s">
        <v>1015</v>
      </c>
      <c r="H254" s="974"/>
      <c r="I254" s="975"/>
      <c r="J254" s="975"/>
      <c r="K254" s="975"/>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5" t="s">
        <v>1125</v>
      </c>
      <c r="B255" s="995" t="s">
        <v>2139</v>
      </c>
      <c r="C255" s="997">
        <v>12858.82</v>
      </c>
      <c r="D255" s="997">
        <v>0</v>
      </c>
      <c r="E255" s="997">
        <v>12858.82</v>
      </c>
      <c r="F255" s="995" t="s">
        <v>1110</v>
      </c>
      <c r="G255" s="995" t="s">
        <v>1015</v>
      </c>
      <c r="H255" s="974"/>
      <c r="I255" s="975"/>
      <c r="J255" s="975"/>
      <c r="K255" s="975"/>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5" t="s">
        <v>1018</v>
      </c>
      <c r="B256" s="995" t="s">
        <v>2142</v>
      </c>
      <c r="C256" s="997">
        <v>5630431.2999999998</v>
      </c>
      <c r="D256" s="997">
        <v>560551.97</v>
      </c>
      <c r="E256" s="997">
        <v>6190983.2699999996</v>
      </c>
      <c r="F256" s="995" t="s">
        <v>1110</v>
      </c>
      <c r="G256" s="995" t="s">
        <v>1019</v>
      </c>
      <c r="H256" s="974"/>
      <c r="I256" s="975"/>
      <c r="J256" s="975"/>
      <c r="K256" s="975"/>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5" t="s">
        <v>3670</v>
      </c>
      <c r="B257" s="995" t="s">
        <v>2145</v>
      </c>
      <c r="C257" s="997">
        <v>333177.5</v>
      </c>
      <c r="D257" s="997">
        <v>27460.84</v>
      </c>
      <c r="E257" s="997">
        <v>360638.34</v>
      </c>
      <c r="F257" s="995" t="s">
        <v>1110</v>
      </c>
      <c r="G257" s="995" t="s">
        <v>1023</v>
      </c>
      <c r="H257" s="974"/>
      <c r="I257" s="975"/>
      <c r="J257" s="975"/>
      <c r="K257" s="975"/>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5" t="s">
        <v>1127</v>
      </c>
      <c r="B258" s="995" t="s">
        <v>2148</v>
      </c>
      <c r="C258" s="997">
        <v>1510.29</v>
      </c>
      <c r="D258" s="997">
        <v>0</v>
      </c>
      <c r="E258" s="997">
        <v>1510.29</v>
      </c>
      <c r="F258" s="995" t="s">
        <v>1110</v>
      </c>
      <c r="G258" s="995" t="s">
        <v>1026</v>
      </c>
      <c r="H258" s="974"/>
      <c r="I258" s="976"/>
      <c r="J258" s="974"/>
      <c r="K258" s="976"/>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5" t="s">
        <v>3671</v>
      </c>
      <c r="B259" s="995" t="s">
        <v>2151</v>
      </c>
      <c r="C259" s="997">
        <v>142433.63</v>
      </c>
      <c r="D259" s="997">
        <v>10576.5</v>
      </c>
      <c r="E259" s="997">
        <v>153010.13</v>
      </c>
      <c r="F259" s="995" t="s">
        <v>1110</v>
      </c>
      <c r="G259" s="995" t="s">
        <v>1028</v>
      </c>
      <c r="H259" s="974"/>
      <c r="I259" s="976"/>
      <c r="J259" s="974"/>
      <c r="K259" s="976"/>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5" t="s">
        <v>3672</v>
      </c>
      <c r="B260" s="995" t="s">
        <v>2154</v>
      </c>
      <c r="C260" s="997">
        <v>142977.4</v>
      </c>
      <c r="D260" s="997">
        <v>10757.8</v>
      </c>
      <c r="E260" s="997">
        <v>153735.20000000001</v>
      </c>
      <c r="F260" s="995" t="s">
        <v>1110</v>
      </c>
      <c r="G260" s="995" t="s">
        <v>1031</v>
      </c>
      <c r="H260" s="974"/>
      <c r="I260" s="974"/>
      <c r="J260" s="974"/>
      <c r="K260" s="974"/>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5" t="s">
        <v>3680</v>
      </c>
      <c r="B261" s="995" t="s">
        <v>2160</v>
      </c>
      <c r="C261" s="997">
        <v>18627.75</v>
      </c>
      <c r="D261" s="997">
        <v>2193.19</v>
      </c>
      <c r="E261" s="997">
        <v>20820.939999999999</v>
      </c>
      <c r="F261" s="995" t="s">
        <v>1110</v>
      </c>
      <c r="G261" s="995" t="s">
        <v>1131</v>
      </c>
      <c r="H261" s="974"/>
      <c r="I261" s="976"/>
      <c r="J261" s="974"/>
      <c r="K261" s="976"/>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5" t="s">
        <v>1033</v>
      </c>
      <c r="B262" s="995" t="s">
        <v>2166</v>
      </c>
      <c r="C262" s="997">
        <v>187160.75</v>
      </c>
      <c r="D262" s="997">
        <v>13158.91</v>
      </c>
      <c r="E262" s="997">
        <v>200319.66</v>
      </c>
      <c r="F262" s="995" t="s">
        <v>1110</v>
      </c>
      <c r="G262" s="995" t="s">
        <v>1034</v>
      </c>
      <c r="H262" s="974"/>
      <c r="I262" s="976"/>
      <c r="J262" s="974"/>
      <c r="K262" s="976"/>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5" t="s">
        <v>1036</v>
      </c>
      <c r="B263" s="995" t="s">
        <v>2169</v>
      </c>
      <c r="C263" s="997">
        <v>15309.84</v>
      </c>
      <c r="D263" s="997">
        <v>2451</v>
      </c>
      <c r="E263" s="997">
        <v>17760.84</v>
      </c>
      <c r="F263" s="995" t="s">
        <v>1110</v>
      </c>
      <c r="G263" s="995" t="s">
        <v>1037</v>
      </c>
      <c r="H263" s="974"/>
      <c r="I263" s="974"/>
      <c r="J263" s="974"/>
      <c r="K263" s="974"/>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5" t="s">
        <v>1132</v>
      </c>
      <c r="B264" s="995" t="s">
        <v>2172</v>
      </c>
      <c r="C264" s="997">
        <v>18322.73</v>
      </c>
      <c r="D264" s="997">
        <v>6928</v>
      </c>
      <c r="E264" s="997">
        <v>25250.73</v>
      </c>
      <c r="F264" s="995" t="s">
        <v>1110</v>
      </c>
      <c r="G264" s="995" t="s">
        <v>1040</v>
      </c>
      <c r="H264" s="974"/>
      <c r="I264" s="976"/>
      <c r="J264" s="974"/>
      <c r="K264" s="976"/>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5" t="s">
        <v>1133</v>
      </c>
      <c r="B265" s="995" t="s">
        <v>2175</v>
      </c>
      <c r="C265" s="997">
        <v>170571.8</v>
      </c>
      <c r="D265" s="997">
        <v>9741.6</v>
      </c>
      <c r="E265" s="997">
        <v>180313.4</v>
      </c>
      <c r="F265" s="995" t="s">
        <v>1110</v>
      </c>
      <c r="G265" s="995" t="s">
        <v>1044</v>
      </c>
      <c r="H265" s="974"/>
      <c r="I265" s="974"/>
      <c r="J265" s="974"/>
      <c r="K265" s="974"/>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5" t="s">
        <v>1134</v>
      </c>
      <c r="B266" s="995" t="s">
        <v>2184</v>
      </c>
      <c r="C266" s="997">
        <v>179426.37</v>
      </c>
      <c r="D266" s="997">
        <v>9233.16</v>
      </c>
      <c r="E266" s="997">
        <v>188659.53</v>
      </c>
      <c r="F266" s="995" t="s">
        <v>1110</v>
      </c>
      <c r="G266" s="995" t="s">
        <v>1051</v>
      </c>
      <c r="H266" s="974"/>
      <c r="I266" s="976"/>
      <c r="J266" s="974"/>
      <c r="K266" s="976"/>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5" t="s">
        <v>1135</v>
      </c>
      <c r="B267" s="995" t="s">
        <v>2187</v>
      </c>
      <c r="C267" s="997">
        <v>632488.54</v>
      </c>
      <c r="D267" s="997">
        <v>45682.63</v>
      </c>
      <c r="E267" s="997">
        <v>678171.17</v>
      </c>
      <c r="F267" s="995" t="s">
        <v>1110</v>
      </c>
      <c r="G267" s="995" t="s">
        <v>1055</v>
      </c>
      <c r="H267" s="974"/>
      <c r="I267" s="976"/>
      <c r="J267" s="974"/>
      <c r="K267" s="976"/>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5" t="s">
        <v>1136</v>
      </c>
      <c r="B268" s="995" t="s">
        <v>2190</v>
      </c>
      <c r="C268" s="997">
        <v>51368.12</v>
      </c>
      <c r="D268" s="997">
        <v>3535.22</v>
      </c>
      <c r="E268" s="997">
        <v>54903.34</v>
      </c>
      <c r="F268" s="995" t="s">
        <v>1110</v>
      </c>
      <c r="G268" s="995" t="s">
        <v>1059</v>
      </c>
      <c r="H268" s="974"/>
      <c r="I268" s="974"/>
      <c r="J268" s="974"/>
      <c r="K268" s="974"/>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5" t="s">
        <v>3673</v>
      </c>
      <c r="B269" s="995" t="s">
        <v>2193</v>
      </c>
      <c r="C269" s="997">
        <v>539344.22</v>
      </c>
      <c r="D269" s="997">
        <v>51502.47</v>
      </c>
      <c r="E269" s="997">
        <v>590846.68999999994</v>
      </c>
      <c r="F269" s="995" t="s">
        <v>1110</v>
      </c>
      <c r="G269" s="995" t="s">
        <v>1063</v>
      </c>
      <c r="H269" s="974"/>
      <c r="I269" s="976"/>
      <c r="J269" s="974"/>
      <c r="K269" s="976"/>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5" t="s">
        <v>1138</v>
      </c>
      <c r="B270" s="995" t="s">
        <v>2196</v>
      </c>
      <c r="C270" s="997">
        <v>5324.19</v>
      </c>
      <c r="D270" s="997">
        <v>219.93</v>
      </c>
      <c r="E270" s="997">
        <v>5544.12</v>
      </c>
      <c r="F270" s="995" t="s">
        <v>1110</v>
      </c>
      <c r="G270" s="995" t="s">
        <v>1067</v>
      </c>
      <c r="H270" s="974"/>
      <c r="I270" s="976"/>
      <c r="J270" s="974"/>
      <c r="K270" s="976"/>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5" t="s">
        <v>3674</v>
      </c>
      <c r="B271" s="995" t="s">
        <v>2199</v>
      </c>
      <c r="C271" s="997">
        <v>495564.84</v>
      </c>
      <c r="D271" s="997">
        <v>41455.96</v>
      </c>
      <c r="E271" s="997">
        <v>537020.80000000005</v>
      </c>
      <c r="F271" s="995" t="s">
        <v>1110</v>
      </c>
      <c r="G271" s="995" t="s">
        <v>1069</v>
      </c>
      <c r="H271" s="974"/>
      <c r="I271" s="974"/>
      <c r="J271" s="974"/>
      <c r="K271" s="974"/>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5" t="s">
        <v>3675</v>
      </c>
      <c r="B272" s="995" t="s">
        <v>2202</v>
      </c>
      <c r="C272" s="997">
        <v>332704.98</v>
      </c>
      <c r="D272" s="997">
        <v>24567.599999999999</v>
      </c>
      <c r="E272" s="997">
        <v>357272.58</v>
      </c>
      <c r="F272" s="995" t="s">
        <v>1110</v>
      </c>
      <c r="G272" s="995" t="s">
        <v>1073</v>
      </c>
      <c r="H272" s="974"/>
      <c r="I272" s="976"/>
      <c r="J272" s="974"/>
      <c r="K272" s="976"/>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5" t="s">
        <v>3676</v>
      </c>
      <c r="B273" s="995" t="s">
        <v>2205</v>
      </c>
      <c r="C273" s="997">
        <v>5848.68</v>
      </c>
      <c r="D273" s="997">
        <v>68.62</v>
      </c>
      <c r="E273" s="997">
        <v>5917.3</v>
      </c>
      <c r="F273" s="995" t="s">
        <v>1110</v>
      </c>
      <c r="G273" s="995" t="s">
        <v>1076</v>
      </c>
      <c r="H273" s="974"/>
      <c r="I273" s="975"/>
      <c r="J273" s="975"/>
      <c r="K273" s="975"/>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5" t="s">
        <v>1141</v>
      </c>
      <c r="B274" s="995" t="s">
        <v>2208</v>
      </c>
      <c r="C274" s="997">
        <v>20099.38</v>
      </c>
      <c r="D274" s="997">
        <v>1445.54</v>
      </c>
      <c r="E274" s="997">
        <v>21544.92</v>
      </c>
      <c r="F274" s="995" t="s">
        <v>1110</v>
      </c>
      <c r="G274" s="995" t="s">
        <v>1142</v>
      </c>
      <c r="H274" s="974"/>
      <c r="I274" s="975"/>
      <c r="J274" s="975"/>
      <c r="K274" s="975"/>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5" t="s">
        <v>1143</v>
      </c>
      <c r="B275" s="995" t="s">
        <v>3386</v>
      </c>
      <c r="C275" s="997">
        <v>189.83</v>
      </c>
      <c r="D275" s="997">
        <v>0</v>
      </c>
      <c r="E275" s="997">
        <v>189.83</v>
      </c>
      <c r="F275" s="995" t="s">
        <v>1110</v>
      </c>
      <c r="G275" s="995" t="s">
        <v>3382</v>
      </c>
      <c r="H275" s="974"/>
      <c r="I275" s="975"/>
      <c r="J275" s="975"/>
      <c r="K275" s="975"/>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5" t="s">
        <v>3677</v>
      </c>
      <c r="B276" s="995" t="s">
        <v>2214</v>
      </c>
      <c r="C276" s="997">
        <v>74159.25</v>
      </c>
      <c r="D276" s="997">
        <v>2531.7600000000002</v>
      </c>
      <c r="E276" s="997">
        <v>76691.009999999995</v>
      </c>
      <c r="F276" s="995" t="s">
        <v>1110</v>
      </c>
      <c r="G276" s="995" t="s">
        <v>1086</v>
      </c>
      <c r="H276" s="974"/>
      <c r="I276" s="975"/>
      <c r="J276" s="975"/>
      <c r="K276" s="975"/>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5" t="s">
        <v>3678</v>
      </c>
      <c r="B277" s="995" t="s">
        <v>2217</v>
      </c>
      <c r="C277" s="997">
        <v>385030.95</v>
      </c>
      <c r="D277" s="997">
        <v>26802.7</v>
      </c>
      <c r="E277" s="997">
        <v>411833.65</v>
      </c>
      <c r="F277" s="995" t="s">
        <v>1110</v>
      </c>
      <c r="G277" s="995" t="s">
        <v>1090</v>
      </c>
      <c r="H277" s="974"/>
      <c r="I277" s="975"/>
      <c r="J277" s="975"/>
      <c r="K277" s="975"/>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5" t="s">
        <v>3679</v>
      </c>
      <c r="B278" s="995" t="s">
        <v>2220</v>
      </c>
      <c r="C278" s="997">
        <v>10014.44</v>
      </c>
      <c r="D278" s="997">
        <v>194.62</v>
      </c>
      <c r="E278" s="997">
        <v>10209.06</v>
      </c>
      <c r="F278" s="995" t="s">
        <v>1110</v>
      </c>
      <c r="G278" s="995" t="s">
        <v>1094</v>
      </c>
      <c r="H278" s="974"/>
      <c r="I278" s="975"/>
      <c r="J278" s="975"/>
      <c r="K278" s="975"/>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5" t="s">
        <v>1147</v>
      </c>
      <c r="B279" s="995" t="s">
        <v>2223</v>
      </c>
      <c r="C279" s="997">
        <v>137674.37</v>
      </c>
      <c r="D279" s="997">
        <v>10790.48</v>
      </c>
      <c r="E279" s="997">
        <v>148464.85</v>
      </c>
      <c r="F279" s="995" t="s">
        <v>1110</v>
      </c>
      <c r="G279" s="995" t="s">
        <v>1098</v>
      </c>
      <c r="H279" s="974"/>
      <c r="I279" s="975"/>
      <c r="J279" s="975"/>
      <c r="K279" s="975"/>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5" t="s">
        <v>1148</v>
      </c>
      <c r="B280" s="995" t="s">
        <v>2226</v>
      </c>
      <c r="C280" s="997">
        <v>763062.29</v>
      </c>
      <c r="D280" s="997">
        <v>71924.28</v>
      </c>
      <c r="E280" s="997">
        <v>834986.57</v>
      </c>
      <c r="F280" s="995" t="s">
        <v>1110</v>
      </c>
      <c r="G280" s="995" t="s">
        <v>1102</v>
      </c>
      <c r="H280" s="974"/>
      <c r="I280" s="975"/>
      <c r="J280" s="975"/>
      <c r="K280" s="975"/>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5" t="s">
        <v>1149</v>
      </c>
      <c r="B281" s="995" t="s">
        <v>2229</v>
      </c>
      <c r="C281" s="997">
        <v>382588.15999999997</v>
      </c>
      <c r="D281" s="997">
        <v>42461.16</v>
      </c>
      <c r="E281" s="997">
        <v>425049.32</v>
      </c>
      <c r="F281" s="995" t="s">
        <v>1110</v>
      </c>
      <c r="G281" s="995" t="s">
        <v>1106</v>
      </c>
      <c r="H281" s="974"/>
      <c r="I281" s="975"/>
      <c r="J281" s="975"/>
      <c r="K281" s="975"/>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5" t="s">
        <v>1150</v>
      </c>
      <c r="B282" s="995" t="s">
        <v>2232</v>
      </c>
      <c r="C282" s="997">
        <v>7089.96</v>
      </c>
      <c r="D282" s="997">
        <v>1337.6</v>
      </c>
      <c r="E282" s="997">
        <v>8427.56</v>
      </c>
      <c r="F282" s="995" t="s">
        <v>1110</v>
      </c>
      <c r="G282" s="995" t="s">
        <v>1106</v>
      </c>
      <c r="H282" s="974"/>
      <c r="I282" s="974"/>
      <c r="J282" s="974"/>
      <c r="K282" s="974"/>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5" t="s">
        <v>1151</v>
      </c>
      <c r="B283" s="995" t="s">
        <v>2237</v>
      </c>
      <c r="C283" s="997">
        <v>-15645.42</v>
      </c>
      <c r="D283" s="997">
        <v>-5367.57</v>
      </c>
      <c r="E283" s="997">
        <v>-21012.99</v>
      </c>
      <c r="F283" s="995" t="s">
        <v>1110</v>
      </c>
      <c r="G283" s="995" t="s">
        <v>1152</v>
      </c>
      <c r="H283" s="974"/>
      <c r="I283" s="974"/>
      <c r="J283" s="974"/>
      <c r="K283" s="974"/>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5" t="s">
        <v>1153</v>
      </c>
      <c r="B284" s="995" t="s">
        <v>1155</v>
      </c>
      <c r="C284" s="997">
        <v>460692.04</v>
      </c>
      <c r="D284" s="997">
        <v>29910.06</v>
      </c>
      <c r="E284" s="997">
        <v>490602.1</v>
      </c>
      <c r="F284" s="995" t="s">
        <v>1154</v>
      </c>
      <c r="G284" s="995" t="s">
        <v>1155</v>
      </c>
      <c r="H284" s="974"/>
      <c r="I284" s="974"/>
      <c r="J284" s="974"/>
      <c r="K284" s="974"/>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5" t="s">
        <v>1156</v>
      </c>
      <c r="B285" s="995" t="s">
        <v>1157</v>
      </c>
      <c r="C285" s="997">
        <v>196964.34</v>
      </c>
      <c r="D285" s="997">
        <v>14353.95</v>
      </c>
      <c r="E285" s="997">
        <v>211318.29</v>
      </c>
      <c r="F285" s="995" t="s">
        <v>1154</v>
      </c>
      <c r="G285" s="995" t="s">
        <v>1157</v>
      </c>
      <c r="H285" s="974"/>
      <c r="I285" s="974"/>
      <c r="J285" s="974"/>
      <c r="K285" s="974"/>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5" t="s">
        <v>1158</v>
      </c>
      <c r="B286" s="995" t="s">
        <v>1159</v>
      </c>
      <c r="C286" s="997">
        <v>1055.6600000000001</v>
      </c>
      <c r="D286" s="997">
        <v>249.5</v>
      </c>
      <c r="E286" s="997">
        <v>1305.1600000000001</v>
      </c>
      <c r="F286" s="995" t="s">
        <v>1154</v>
      </c>
      <c r="G286" s="995" t="s">
        <v>1159</v>
      </c>
      <c r="H286" s="974"/>
      <c r="I286" s="974"/>
      <c r="J286" s="974"/>
      <c r="K286" s="974"/>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5" t="s">
        <v>1160</v>
      </c>
      <c r="B287" s="995" t="s">
        <v>1161</v>
      </c>
      <c r="C287" s="997">
        <v>52787.58</v>
      </c>
      <c r="D287" s="997">
        <v>3105.58</v>
      </c>
      <c r="E287" s="997">
        <v>55893.16</v>
      </c>
      <c r="F287" s="995" t="s">
        <v>1154</v>
      </c>
      <c r="G287" s="995" t="s">
        <v>1161</v>
      </c>
      <c r="H287" s="974"/>
      <c r="I287" s="974"/>
      <c r="J287" s="974"/>
      <c r="K287" s="974"/>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5" t="s">
        <v>1162</v>
      </c>
      <c r="B288" s="995" t="s">
        <v>1163</v>
      </c>
      <c r="C288" s="997">
        <v>20315</v>
      </c>
      <c r="D288" s="997">
        <v>9068.61</v>
      </c>
      <c r="E288" s="997">
        <v>29383.61</v>
      </c>
      <c r="F288" s="995" t="s">
        <v>1154</v>
      </c>
      <c r="G288" s="995" t="s">
        <v>1163</v>
      </c>
      <c r="H288" s="974"/>
      <c r="I288" s="974"/>
      <c r="J288" s="974"/>
      <c r="K288" s="974"/>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5" t="s">
        <v>1164</v>
      </c>
      <c r="B289" s="995" t="s">
        <v>1165</v>
      </c>
      <c r="C289" s="997">
        <v>40162.28</v>
      </c>
      <c r="D289" s="997">
        <v>6194.72</v>
      </c>
      <c r="E289" s="997">
        <v>46357</v>
      </c>
      <c r="F289" s="995" t="s">
        <v>1154</v>
      </c>
      <c r="G289" s="995" t="s">
        <v>1165</v>
      </c>
      <c r="H289" s="972"/>
      <c r="I289" s="973"/>
      <c r="J289" s="973"/>
      <c r="K289" s="973"/>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5" t="s">
        <v>1166</v>
      </c>
      <c r="B290" s="995" t="s">
        <v>1167</v>
      </c>
      <c r="C290" s="997">
        <v>169914.96</v>
      </c>
      <c r="D290" s="997">
        <v>16734.32</v>
      </c>
      <c r="E290" s="997">
        <v>186649.28</v>
      </c>
      <c r="F290" s="995" t="s">
        <v>1154</v>
      </c>
      <c r="G290" s="995" t="s">
        <v>1167</v>
      </c>
      <c r="H290" s="972"/>
      <c r="I290" s="973"/>
      <c r="J290" s="973"/>
      <c r="K290" s="973"/>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5" t="s">
        <v>1168</v>
      </c>
      <c r="B291" s="995" t="s">
        <v>2257</v>
      </c>
      <c r="C291" s="997">
        <v>-66850</v>
      </c>
      <c r="D291" s="997">
        <v>-5550</v>
      </c>
      <c r="E291" s="997">
        <v>-72400</v>
      </c>
      <c r="F291" s="995" t="s">
        <v>1154</v>
      </c>
      <c r="G291" s="995" t="s">
        <v>1167</v>
      </c>
      <c r="H291" s="972"/>
      <c r="I291" s="973"/>
      <c r="J291" s="973"/>
      <c r="K291" s="973"/>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5" t="s">
        <v>1169</v>
      </c>
      <c r="B292" s="995" t="s">
        <v>1170</v>
      </c>
      <c r="C292" s="997">
        <v>80091.91</v>
      </c>
      <c r="D292" s="997">
        <v>8369.7099999999991</v>
      </c>
      <c r="E292" s="997">
        <v>88461.62</v>
      </c>
      <c r="F292" s="995" t="s">
        <v>1154</v>
      </c>
      <c r="G292" s="995" t="s">
        <v>1170</v>
      </c>
      <c r="H292" s="972"/>
      <c r="I292" s="973"/>
      <c r="J292" s="973"/>
      <c r="K292" s="973"/>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5" t="s">
        <v>1171</v>
      </c>
      <c r="B293" s="995" t="s">
        <v>1172</v>
      </c>
      <c r="C293" s="997">
        <v>165503.76999999999</v>
      </c>
      <c r="D293" s="997">
        <v>13251.53</v>
      </c>
      <c r="E293" s="997">
        <v>178755.3</v>
      </c>
      <c r="F293" s="995" t="s">
        <v>1154</v>
      </c>
      <c r="G293" s="995" t="s">
        <v>1172</v>
      </c>
      <c r="H293" s="972"/>
      <c r="I293" s="973"/>
      <c r="J293" s="973"/>
      <c r="K293" s="973"/>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5" t="s">
        <v>1173</v>
      </c>
      <c r="B294" s="995" t="s">
        <v>1174</v>
      </c>
      <c r="C294" s="997">
        <v>85532.85</v>
      </c>
      <c r="D294" s="997">
        <v>8271.85</v>
      </c>
      <c r="E294" s="997">
        <v>93804.7</v>
      </c>
      <c r="F294" s="995" t="s">
        <v>1154</v>
      </c>
      <c r="G294" s="995" t="s">
        <v>1174</v>
      </c>
      <c r="H294" s="972"/>
      <c r="I294" s="973"/>
      <c r="J294" s="973"/>
      <c r="K294" s="973"/>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5" t="s">
        <v>1175</v>
      </c>
      <c r="B295" s="995" t="s">
        <v>1176</v>
      </c>
      <c r="C295" s="997">
        <v>45852.26</v>
      </c>
      <c r="D295" s="997">
        <v>6556.67</v>
      </c>
      <c r="E295" s="997">
        <v>52408.93</v>
      </c>
      <c r="F295" s="995" t="s">
        <v>1154</v>
      </c>
      <c r="G295" s="995" t="s">
        <v>1176</v>
      </c>
      <c r="H295" s="972"/>
      <c r="I295" s="973"/>
      <c r="J295" s="973"/>
      <c r="K295" s="973"/>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5" t="s">
        <v>1177</v>
      </c>
      <c r="B296" s="995" t="s">
        <v>1178</v>
      </c>
      <c r="C296" s="997">
        <v>152615.57</v>
      </c>
      <c r="D296" s="997">
        <v>33705.11</v>
      </c>
      <c r="E296" s="997">
        <v>186320.68</v>
      </c>
      <c r="F296" s="995" t="s">
        <v>1154</v>
      </c>
      <c r="G296" s="995" t="s">
        <v>1178</v>
      </c>
      <c r="H296" s="972"/>
      <c r="I296" s="973"/>
      <c r="J296" s="973"/>
      <c r="K296" s="973"/>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5" t="s">
        <v>1179</v>
      </c>
      <c r="B297" s="995" t="s">
        <v>1180</v>
      </c>
      <c r="C297" s="997">
        <v>33970.050000000003</v>
      </c>
      <c r="D297" s="997">
        <v>9053.94</v>
      </c>
      <c r="E297" s="997">
        <v>43023.99</v>
      </c>
      <c r="F297" s="995" t="s">
        <v>1154</v>
      </c>
      <c r="G297" s="995" t="s">
        <v>1180</v>
      </c>
      <c r="H297" s="972"/>
      <c r="I297" s="973"/>
      <c r="J297" s="973"/>
      <c r="K297" s="973"/>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5" t="s">
        <v>1181</v>
      </c>
      <c r="B298" s="995" t="s">
        <v>1182</v>
      </c>
      <c r="C298" s="997">
        <v>175165.9</v>
      </c>
      <c r="D298" s="997">
        <v>22415.47</v>
      </c>
      <c r="E298" s="997">
        <v>197581.37</v>
      </c>
      <c r="F298" s="995" t="s">
        <v>1154</v>
      </c>
      <c r="G298" s="995" t="s">
        <v>1182</v>
      </c>
      <c r="H298" s="972"/>
      <c r="I298" s="973"/>
      <c r="J298" s="973"/>
      <c r="K298" s="973"/>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5" t="s">
        <v>1183</v>
      </c>
      <c r="B299" s="995" t="s">
        <v>1184</v>
      </c>
      <c r="C299" s="997">
        <v>0</v>
      </c>
      <c r="D299" s="997">
        <v>1484.98</v>
      </c>
      <c r="E299" s="997">
        <v>1484.98</v>
      </c>
      <c r="F299" s="995" t="s">
        <v>1154</v>
      </c>
      <c r="G299" s="995" t="s">
        <v>1184</v>
      </c>
      <c r="H299" s="972"/>
      <c r="I299" s="973"/>
      <c r="J299" s="973"/>
      <c r="K299" s="973"/>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5" t="s">
        <v>1185</v>
      </c>
      <c r="B300" s="995" t="s">
        <v>1186</v>
      </c>
      <c r="C300" s="997">
        <v>69862.69</v>
      </c>
      <c r="D300" s="997">
        <v>5142.59</v>
      </c>
      <c r="E300" s="997">
        <v>75005.279999999999</v>
      </c>
      <c r="F300" s="995" t="s">
        <v>1154</v>
      </c>
      <c r="G300" s="995" t="s">
        <v>1186</v>
      </c>
      <c r="H300" s="972"/>
      <c r="I300" s="973"/>
      <c r="J300" s="973"/>
      <c r="K300" s="973"/>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5" t="s">
        <v>1187</v>
      </c>
      <c r="B301" s="995" t="s">
        <v>1188</v>
      </c>
      <c r="C301" s="997">
        <v>339.81</v>
      </c>
      <c r="D301" s="997">
        <v>0</v>
      </c>
      <c r="E301" s="997">
        <v>339.81</v>
      </c>
      <c r="F301" s="995" t="s">
        <v>1154</v>
      </c>
      <c r="G301" s="995" t="s">
        <v>1188</v>
      </c>
      <c r="H301" s="972"/>
      <c r="I301" s="973"/>
      <c r="J301" s="973"/>
      <c r="K301" s="973"/>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5" t="s">
        <v>1189</v>
      </c>
      <c r="B302" s="995" t="s">
        <v>1190</v>
      </c>
      <c r="C302" s="997">
        <v>113.99</v>
      </c>
      <c r="D302" s="997">
        <v>0</v>
      </c>
      <c r="E302" s="997">
        <v>113.99</v>
      </c>
      <c r="F302" s="995" t="s">
        <v>1154</v>
      </c>
      <c r="G302" s="995" t="s">
        <v>1190</v>
      </c>
      <c r="H302" s="972"/>
      <c r="I302" s="973"/>
      <c r="J302" s="973"/>
      <c r="K302" s="973"/>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5" t="s">
        <v>1191</v>
      </c>
      <c r="B303" s="995" t="s">
        <v>1192</v>
      </c>
      <c r="C303" s="997">
        <v>13726.62</v>
      </c>
      <c r="D303" s="997">
        <v>2965.24</v>
      </c>
      <c r="E303" s="997">
        <v>16691.86</v>
      </c>
      <c r="F303" s="995" t="s">
        <v>1154</v>
      </c>
      <c r="G303" s="995" t="s">
        <v>1192</v>
      </c>
      <c r="H303" s="972"/>
      <c r="I303" s="973"/>
      <c r="J303" s="973"/>
      <c r="K303" s="973"/>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5" t="s">
        <v>1193</v>
      </c>
      <c r="B304" s="995" t="s">
        <v>1194</v>
      </c>
      <c r="C304" s="997">
        <v>91428.6</v>
      </c>
      <c r="D304" s="997">
        <v>12232.5</v>
      </c>
      <c r="E304" s="997">
        <v>103661.1</v>
      </c>
      <c r="F304" s="995" t="s">
        <v>1154</v>
      </c>
      <c r="G304" s="995" t="s">
        <v>1194</v>
      </c>
      <c r="H304" s="972"/>
      <c r="I304" s="973"/>
      <c r="J304" s="973"/>
      <c r="K304" s="973"/>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5" t="s">
        <v>1195</v>
      </c>
      <c r="B305" s="995" t="s">
        <v>1196</v>
      </c>
      <c r="C305" s="997">
        <v>1572.14</v>
      </c>
      <c r="D305" s="997">
        <v>158.28</v>
      </c>
      <c r="E305" s="997">
        <v>1730.42</v>
      </c>
      <c r="F305" s="995" t="s">
        <v>1154</v>
      </c>
      <c r="G305" s="995" t="s">
        <v>1196</v>
      </c>
      <c r="H305" s="972"/>
      <c r="I305" s="973"/>
      <c r="J305" s="973"/>
      <c r="K305" s="973"/>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5" t="s">
        <v>1197</v>
      </c>
      <c r="B306" s="995" t="s">
        <v>1198</v>
      </c>
      <c r="C306" s="997">
        <v>83241.56</v>
      </c>
      <c r="D306" s="997">
        <v>5935.79</v>
      </c>
      <c r="E306" s="997">
        <v>89177.35</v>
      </c>
      <c r="F306" s="995" t="s">
        <v>1154</v>
      </c>
      <c r="G306" s="995" t="s">
        <v>1198</v>
      </c>
      <c r="H306" s="972"/>
      <c r="I306" s="973"/>
      <c r="J306" s="973"/>
      <c r="K306" s="973"/>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5" t="s">
        <v>1199</v>
      </c>
      <c r="B307" s="995" t="s">
        <v>1200</v>
      </c>
      <c r="C307" s="997">
        <v>7650.15</v>
      </c>
      <c r="D307" s="997">
        <v>942.03</v>
      </c>
      <c r="E307" s="997">
        <v>8592.18</v>
      </c>
      <c r="F307" s="995" t="s">
        <v>1154</v>
      </c>
      <c r="G307" s="995" t="s">
        <v>1200</v>
      </c>
      <c r="H307" s="972"/>
      <c r="I307" s="973"/>
      <c r="J307" s="973"/>
      <c r="K307" s="973"/>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5" t="s">
        <v>1201</v>
      </c>
      <c r="B308" s="995" t="s">
        <v>1202</v>
      </c>
      <c r="C308" s="997">
        <v>2959.06</v>
      </c>
      <c r="D308" s="997">
        <v>241.05</v>
      </c>
      <c r="E308" s="997">
        <v>3200.11</v>
      </c>
      <c r="F308" s="995" t="s">
        <v>1154</v>
      </c>
      <c r="G308" s="995" t="s">
        <v>1202</v>
      </c>
      <c r="H308" s="972"/>
      <c r="I308" s="973"/>
      <c r="J308" s="973"/>
      <c r="K308" s="973"/>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5" t="s">
        <v>1203</v>
      </c>
      <c r="B309" s="995" t="s">
        <v>1204</v>
      </c>
      <c r="C309" s="997">
        <v>2931.35</v>
      </c>
      <c r="D309" s="997">
        <v>-3.75</v>
      </c>
      <c r="E309" s="997">
        <v>2927.6</v>
      </c>
      <c r="F309" s="995" t="s">
        <v>1154</v>
      </c>
      <c r="G309" s="995" t="s">
        <v>1204</v>
      </c>
      <c r="H309" s="972"/>
      <c r="I309" s="973"/>
      <c r="J309" s="973"/>
      <c r="K309" s="973"/>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5" t="s">
        <v>1205</v>
      </c>
      <c r="B310" s="995" t="s">
        <v>1206</v>
      </c>
      <c r="C310" s="997">
        <v>12492.64</v>
      </c>
      <c r="D310" s="997">
        <v>862.19</v>
      </c>
      <c r="E310" s="997">
        <v>13354.83</v>
      </c>
      <c r="F310" s="995" t="s">
        <v>1154</v>
      </c>
      <c r="G310" s="995" t="s">
        <v>1206</v>
      </c>
      <c r="H310" s="972"/>
      <c r="I310" s="973"/>
      <c r="J310" s="973"/>
      <c r="K310" s="973"/>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5" t="s">
        <v>1207</v>
      </c>
      <c r="B311" s="995" t="s">
        <v>3387</v>
      </c>
      <c r="C311" s="997">
        <v>49147.26</v>
      </c>
      <c r="D311" s="997">
        <v>-3163.38</v>
      </c>
      <c r="E311" s="997">
        <v>45983.88</v>
      </c>
      <c r="F311" s="995" t="s">
        <v>1154</v>
      </c>
      <c r="G311" s="995" t="s">
        <v>1208</v>
      </c>
      <c r="H311" s="972"/>
      <c r="I311" s="973"/>
      <c r="J311" s="973"/>
      <c r="K311" s="973"/>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5" t="s">
        <v>1209</v>
      </c>
      <c r="B312" s="995" t="s">
        <v>1210</v>
      </c>
      <c r="C312" s="997">
        <v>74595.070000000007</v>
      </c>
      <c r="D312" s="997">
        <v>6386.01</v>
      </c>
      <c r="E312" s="997">
        <v>80981.08</v>
      </c>
      <c r="F312" s="995" t="s">
        <v>1154</v>
      </c>
      <c r="G312" s="995" t="s">
        <v>1210</v>
      </c>
      <c r="H312" s="972"/>
      <c r="I312" s="973"/>
      <c r="J312" s="973"/>
      <c r="K312" s="973"/>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5" t="s">
        <v>1211</v>
      </c>
      <c r="B313" s="995" t="s">
        <v>1212</v>
      </c>
      <c r="C313" s="997">
        <v>15187.04</v>
      </c>
      <c r="D313" s="997">
        <v>1380.64</v>
      </c>
      <c r="E313" s="997">
        <v>16567.68</v>
      </c>
      <c r="F313" s="995" t="s">
        <v>1154</v>
      </c>
      <c r="G313" s="995" t="s">
        <v>1212</v>
      </c>
      <c r="H313" s="972"/>
      <c r="I313" s="973"/>
      <c r="J313" s="973"/>
      <c r="K313" s="973"/>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5" t="s">
        <v>1213</v>
      </c>
      <c r="B314" s="995" t="s">
        <v>1214</v>
      </c>
      <c r="C314" s="997">
        <v>8906.51</v>
      </c>
      <c r="D314" s="997">
        <v>297.87</v>
      </c>
      <c r="E314" s="997">
        <v>9204.3799999999992</v>
      </c>
      <c r="F314" s="995" t="s">
        <v>1154</v>
      </c>
      <c r="G314" s="995" t="s">
        <v>1214</v>
      </c>
      <c r="H314" s="972"/>
      <c r="I314" s="973"/>
      <c r="J314" s="973"/>
      <c r="K314" s="973"/>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5" t="s">
        <v>1215</v>
      </c>
      <c r="B315" s="995" t="s">
        <v>1216</v>
      </c>
      <c r="C315" s="997">
        <v>91520</v>
      </c>
      <c r="D315" s="997">
        <v>8320</v>
      </c>
      <c r="E315" s="997">
        <v>99840</v>
      </c>
      <c r="F315" s="995" t="s">
        <v>1154</v>
      </c>
      <c r="G315" s="995" t="s">
        <v>1216</v>
      </c>
      <c r="H315" s="972"/>
      <c r="I315" s="973"/>
      <c r="J315" s="973"/>
      <c r="K315" s="973"/>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5" t="s">
        <v>1217</v>
      </c>
      <c r="B316" s="995" t="s">
        <v>1218</v>
      </c>
      <c r="C316" s="997">
        <v>15033.92</v>
      </c>
      <c r="D316" s="997">
        <v>1366.72</v>
      </c>
      <c r="E316" s="997">
        <v>16400.64</v>
      </c>
      <c r="F316" s="995" t="s">
        <v>1154</v>
      </c>
      <c r="G316" s="995" t="s">
        <v>1218</v>
      </c>
      <c r="H316" s="972"/>
      <c r="I316" s="973"/>
      <c r="J316" s="973"/>
      <c r="K316" s="973"/>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5" t="s">
        <v>1219</v>
      </c>
      <c r="B317" s="995" t="s">
        <v>1220</v>
      </c>
      <c r="C317" s="997">
        <v>17353.599999999999</v>
      </c>
      <c r="D317" s="997">
        <v>529.92999999999995</v>
      </c>
      <c r="E317" s="997">
        <v>17883.53</v>
      </c>
      <c r="F317" s="995" t="s">
        <v>1154</v>
      </c>
      <c r="G317" s="995" t="s">
        <v>1220</v>
      </c>
      <c r="H317" s="972"/>
      <c r="I317" s="973"/>
      <c r="J317" s="973"/>
      <c r="K317" s="973"/>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5" t="s">
        <v>1221</v>
      </c>
      <c r="B318" s="995" t="s">
        <v>1222</v>
      </c>
      <c r="C318" s="997">
        <v>11545.6</v>
      </c>
      <c r="D318" s="997">
        <v>1049.5999999999999</v>
      </c>
      <c r="E318" s="997">
        <v>12595.2</v>
      </c>
      <c r="F318" s="995" t="s">
        <v>1154</v>
      </c>
      <c r="G318" s="995" t="s">
        <v>1222</v>
      </c>
      <c r="H318" s="972"/>
      <c r="I318" s="973"/>
      <c r="J318" s="973"/>
      <c r="K318" s="973"/>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5" t="s">
        <v>1223</v>
      </c>
      <c r="B319" s="995" t="s">
        <v>1224</v>
      </c>
      <c r="C319" s="997">
        <v>21554.17</v>
      </c>
      <c r="D319" s="997">
        <v>1959.47</v>
      </c>
      <c r="E319" s="997">
        <v>23513.64</v>
      </c>
      <c r="F319" s="995" t="s">
        <v>1154</v>
      </c>
      <c r="G319" s="995" t="s">
        <v>1224</v>
      </c>
      <c r="H319" s="972"/>
      <c r="I319" s="973"/>
      <c r="J319" s="973"/>
      <c r="K319" s="973"/>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5" t="s">
        <v>1225</v>
      </c>
      <c r="B320" s="995" t="s">
        <v>2319</v>
      </c>
      <c r="C320" s="997">
        <v>276749.90000000002</v>
      </c>
      <c r="D320" s="997">
        <v>10925.41</v>
      </c>
      <c r="E320" s="997">
        <v>287675.31</v>
      </c>
      <c r="F320" s="995" t="s">
        <v>1154</v>
      </c>
      <c r="G320" s="995" t="s">
        <v>1155</v>
      </c>
      <c r="H320" s="972"/>
      <c r="I320" s="973"/>
      <c r="J320" s="973"/>
      <c r="K320" s="973"/>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5" t="s">
        <v>1156</v>
      </c>
      <c r="B321" s="995" t="s">
        <v>2322</v>
      </c>
      <c r="C321" s="997">
        <v>244478.97</v>
      </c>
      <c r="D321" s="997">
        <v>13256.64</v>
      </c>
      <c r="E321" s="997">
        <v>257735.61</v>
      </c>
      <c r="F321" s="995" t="s">
        <v>1154</v>
      </c>
      <c r="G321" s="995" t="s">
        <v>1157</v>
      </c>
      <c r="H321" s="972"/>
      <c r="I321" s="973"/>
      <c r="J321" s="973"/>
      <c r="K321" s="973"/>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5" t="s">
        <v>1226</v>
      </c>
      <c r="B322" s="995" t="s">
        <v>2325</v>
      </c>
      <c r="C322" s="997">
        <v>1812.09</v>
      </c>
      <c r="D322" s="997">
        <v>0</v>
      </c>
      <c r="E322" s="997">
        <v>1812.09</v>
      </c>
      <c r="F322" s="995" t="s">
        <v>1154</v>
      </c>
      <c r="G322" s="995" t="s">
        <v>1159</v>
      </c>
      <c r="H322" s="972"/>
      <c r="I322" s="973"/>
      <c r="J322" s="973"/>
      <c r="K322" s="973"/>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5" t="s">
        <v>1160</v>
      </c>
      <c r="B323" s="995" t="s">
        <v>2328</v>
      </c>
      <c r="C323" s="997">
        <v>51151.41</v>
      </c>
      <c r="D323" s="997">
        <v>4374.82</v>
      </c>
      <c r="E323" s="997">
        <v>55526.23</v>
      </c>
      <c r="F323" s="995" t="s">
        <v>1154</v>
      </c>
      <c r="G323" s="995" t="s">
        <v>1161</v>
      </c>
      <c r="H323" s="972"/>
      <c r="I323" s="973"/>
      <c r="J323" s="973"/>
      <c r="K323" s="973"/>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5" t="s">
        <v>1162</v>
      </c>
      <c r="B324" s="995" t="s">
        <v>2331</v>
      </c>
      <c r="C324" s="997">
        <v>28976.73</v>
      </c>
      <c r="D324" s="997">
        <v>9450.74</v>
      </c>
      <c r="E324" s="997">
        <v>38427.47</v>
      </c>
      <c r="F324" s="995" t="s">
        <v>1154</v>
      </c>
      <c r="G324" s="995" t="s">
        <v>1163</v>
      </c>
      <c r="H324" s="972"/>
      <c r="I324" s="973"/>
      <c r="J324" s="973"/>
      <c r="K324" s="973"/>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5" t="s">
        <v>1164</v>
      </c>
      <c r="B325" s="995" t="s">
        <v>2334</v>
      </c>
      <c r="C325" s="997">
        <v>7787.54</v>
      </c>
      <c r="D325" s="997">
        <v>2310.11</v>
      </c>
      <c r="E325" s="997">
        <v>10097.65</v>
      </c>
      <c r="F325" s="995" t="s">
        <v>1154</v>
      </c>
      <c r="G325" s="995" t="s">
        <v>1165</v>
      </c>
      <c r="H325" s="972"/>
      <c r="I325" s="973"/>
      <c r="J325" s="973"/>
      <c r="K325" s="973"/>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5" t="s">
        <v>1166</v>
      </c>
      <c r="B326" s="995" t="s">
        <v>2340</v>
      </c>
      <c r="C326" s="997">
        <v>97727.83</v>
      </c>
      <c r="D326" s="997">
        <v>11744.93</v>
      </c>
      <c r="E326" s="997">
        <v>109472.76</v>
      </c>
      <c r="F326" s="995" t="s">
        <v>1154</v>
      </c>
      <c r="G326" s="995" t="s">
        <v>1167</v>
      </c>
      <c r="H326" s="972"/>
      <c r="I326" s="973"/>
      <c r="J326" s="973"/>
      <c r="K326" s="973"/>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5" t="s">
        <v>1227</v>
      </c>
      <c r="B327" s="995" t="s">
        <v>2343</v>
      </c>
      <c r="C327" s="997">
        <v>-35300</v>
      </c>
      <c r="D327" s="997">
        <v>-2400</v>
      </c>
      <c r="E327" s="997">
        <v>-37700</v>
      </c>
      <c r="F327" s="995" t="s">
        <v>1154</v>
      </c>
      <c r="G327" s="995" t="s">
        <v>1167</v>
      </c>
      <c r="H327" s="972"/>
      <c r="I327" s="973"/>
      <c r="J327" s="973"/>
      <c r="K327" s="973"/>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5" t="s">
        <v>1169</v>
      </c>
      <c r="B328" s="995" t="s">
        <v>2349</v>
      </c>
      <c r="C328" s="997">
        <v>17798.060000000001</v>
      </c>
      <c r="D328" s="997">
        <v>1859.92</v>
      </c>
      <c r="E328" s="997">
        <v>19657.98</v>
      </c>
      <c r="F328" s="995" t="s">
        <v>1154</v>
      </c>
      <c r="G328" s="995" t="s">
        <v>1170</v>
      </c>
      <c r="H328" s="972"/>
      <c r="I328" s="973"/>
      <c r="J328" s="973"/>
      <c r="K328" s="973"/>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5" t="s">
        <v>1171</v>
      </c>
      <c r="B329" s="995" t="s">
        <v>2352</v>
      </c>
      <c r="C329" s="997">
        <v>108665.56</v>
      </c>
      <c r="D329" s="997">
        <v>7995.62</v>
      </c>
      <c r="E329" s="997">
        <v>116661.18</v>
      </c>
      <c r="F329" s="995" t="s">
        <v>1154</v>
      </c>
      <c r="G329" s="995" t="s">
        <v>1172</v>
      </c>
      <c r="H329" s="972"/>
      <c r="I329" s="973"/>
      <c r="J329" s="973"/>
      <c r="K329" s="973"/>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5" t="s">
        <v>1173</v>
      </c>
      <c r="B330" s="995" t="s">
        <v>2355</v>
      </c>
      <c r="C330" s="997">
        <v>19007.28</v>
      </c>
      <c r="D330" s="997">
        <v>2858.19</v>
      </c>
      <c r="E330" s="997">
        <v>21865.47</v>
      </c>
      <c r="F330" s="995" t="s">
        <v>1154</v>
      </c>
      <c r="G330" s="995" t="s">
        <v>1174</v>
      </c>
      <c r="H330" s="972"/>
      <c r="I330" s="973"/>
      <c r="J330" s="973"/>
      <c r="K330" s="973"/>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5" t="s">
        <v>1228</v>
      </c>
      <c r="B331" s="995" t="s">
        <v>2358</v>
      </c>
      <c r="C331" s="997">
        <v>83330.259999999995</v>
      </c>
      <c r="D331" s="997">
        <v>8410.67</v>
      </c>
      <c r="E331" s="997">
        <v>91740.93</v>
      </c>
      <c r="F331" s="995" t="s">
        <v>1154</v>
      </c>
      <c r="G331" s="995" t="s">
        <v>1176</v>
      </c>
      <c r="H331" s="972"/>
      <c r="I331" s="973"/>
      <c r="J331" s="973"/>
      <c r="K331" s="973"/>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5" t="s">
        <v>1229</v>
      </c>
      <c r="B332" s="995" t="s">
        <v>2359</v>
      </c>
      <c r="C332" s="997">
        <v>40448.980000000003</v>
      </c>
      <c r="D332" s="997">
        <v>8469.86</v>
      </c>
      <c r="E332" s="997">
        <v>48918.84</v>
      </c>
      <c r="F332" s="995" t="s">
        <v>1154</v>
      </c>
      <c r="G332" s="995" t="s">
        <v>1178</v>
      </c>
      <c r="H332" s="972"/>
      <c r="I332" s="973"/>
      <c r="J332" s="973"/>
      <c r="K332" s="973"/>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5" t="s">
        <v>1179</v>
      </c>
      <c r="B333" s="995" t="s">
        <v>2362</v>
      </c>
      <c r="C333" s="997">
        <v>17573.97</v>
      </c>
      <c r="D333" s="997">
        <v>4570.97</v>
      </c>
      <c r="E333" s="997">
        <v>22144.94</v>
      </c>
      <c r="F333" s="995" t="s">
        <v>1154</v>
      </c>
      <c r="G333" s="995" t="s">
        <v>1180</v>
      </c>
      <c r="H333" s="972"/>
      <c r="I333" s="973"/>
      <c r="J333" s="973"/>
      <c r="K333" s="973"/>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5" t="s">
        <v>1181</v>
      </c>
      <c r="B334" s="995" t="s">
        <v>2365</v>
      </c>
      <c r="C334" s="997">
        <v>47352.15</v>
      </c>
      <c r="D334" s="997">
        <v>6702.32</v>
      </c>
      <c r="E334" s="997">
        <v>54054.47</v>
      </c>
      <c r="F334" s="995" t="s">
        <v>1154</v>
      </c>
      <c r="G334" s="995" t="s">
        <v>1182</v>
      </c>
      <c r="H334" s="972"/>
      <c r="I334" s="973"/>
      <c r="J334" s="973"/>
      <c r="K334" s="973"/>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5" t="s">
        <v>1230</v>
      </c>
      <c r="B335" s="995" t="s">
        <v>3389</v>
      </c>
      <c r="C335" s="997">
        <v>0</v>
      </c>
      <c r="D335" s="997">
        <v>267.44</v>
      </c>
      <c r="E335" s="997">
        <v>267.44</v>
      </c>
      <c r="F335" s="995" t="s">
        <v>1154</v>
      </c>
      <c r="G335" s="995" t="s">
        <v>1184</v>
      </c>
      <c r="H335" s="972"/>
      <c r="I335" s="973"/>
      <c r="J335" s="973"/>
      <c r="K335" s="973"/>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5" t="s">
        <v>1231</v>
      </c>
      <c r="B336" s="995" t="s">
        <v>2368</v>
      </c>
      <c r="C336" s="997">
        <v>31408.639999999999</v>
      </c>
      <c r="D336" s="997">
        <v>1869.15</v>
      </c>
      <c r="E336" s="997">
        <v>33277.79</v>
      </c>
      <c r="F336" s="995" t="s">
        <v>1154</v>
      </c>
      <c r="G336" s="995" t="s">
        <v>1186</v>
      </c>
      <c r="H336" s="972"/>
      <c r="I336" s="973"/>
      <c r="J336" s="973"/>
      <c r="K336" s="973"/>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5" t="s">
        <v>1187</v>
      </c>
      <c r="B337" s="995" t="s">
        <v>2374</v>
      </c>
      <c r="C337" s="997">
        <v>1707.74</v>
      </c>
      <c r="D337" s="997">
        <v>0</v>
      </c>
      <c r="E337" s="997">
        <v>1707.74</v>
      </c>
      <c r="F337" s="995" t="s">
        <v>1154</v>
      </c>
      <c r="G337" s="995" t="s">
        <v>1188</v>
      </c>
      <c r="H337" s="972"/>
      <c r="I337" s="974"/>
      <c r="J337" s="974"/>
      <c r="K337" s="974"/>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5" t="s">
        <v>1191</v>
      </c>
      <c r="B338" s="995" t="s">
        <v>2379</v>
      </c>
      <c r="C338" s="997">
        <v>2291.85</v>
      </c>
      <c r="D338" s="997">
        <v>1249.67</v>
      </c>
      <c r="E338" s="997">
        <v>3541.52</v>
      </c>
      <c r="F338" s="995" t="s">
        <v>1154</v>
      </c>
      <c r="G338" s="995" t="s">
        <v>1192</v>
      </c>
      <c r="H338" s="972"/>
      <c r="I338" s="974"/>
      <c r="J338" s="974"/>
      <c r="K338" s="974"/>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5" t="s">
        <v>1193</v>
      </c>
      <c r="B339" s="995" t="s">
        <v>2382</v>
      </c>
      <c r="C339" s="997">
        <v>2438.73</v>
      </c>
      <c r="D339" s="997">
        <v>1106.7</v>
      </c>
      <c r="E339" s="997">
        <v>3545.43</v>
      </c>
      <c r="F339" s="995" t="s">
        <v>1154</v>
      </c>
      <c r="G339" s="995" t="s">
        <v>1194</v>
      </c>
      <c r="H339" s="972"/>
      <c r="I339" s="974"/>
      <c r="J339" s="974"/>
      <c r="K339" s="974"/>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5" t="s">
        <v>1195</v>
      </c>
      <c r="B340" s="995" t="s">
        <v>2385</v>
      </c>
      <c r="C340" s="997">
        <v>772.4</v>
      </c>
      <c r="D340" s="997">
        <v>59.36</v>
      </c>
      <c r="E340" s="997">
        <v>831.76</v>
      </c>
      <c r="F340" s="995" t="s">
        <v>1154</v>
      </c>
      <c r="G340" s="995" t="s">
        <v>1196</v>
      </c>
      <c r="H340" s="972"/>
      <c r="I340" s="974"/>
      <c r="J340" s="974"/>
      <c r="K340" s="974"/>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5" t="s">
        <v>1197</v>
      </c>
      <c r="B341" s="995" t="s">
        <v>2388</v>
      </c>
      <c r="C341" s="997">
        <v>32409.72</v>
      </c>
      <c r="D341" s="997">
        <v>3407.82</v>
      </c>
      <c r="E341" s="997">
        <v>35817.54</v>
      </c>
      <c r="F341" s="995" t="s">
        <v>1154</v>
      </c>
      <c r="G341" s="995" t="s">
        <v>1198</v>
      </c>
      <c r="H341" s="972"/>
      <c r="I341" s="975"/>
      <c r="J341" s="975"/>
      <c r="K341" s="975"/>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5" t="s">
        <v>1199</v>
      </c>
      <c r="B342" s="995" t="s">
        <v>2391</v>
      </c>
      <c r="C342" s="997">
        <v>2868.84</v>
      </c>
      <c r="D342" s="997">
        <v>353.27</v>
      </c>
      <c r="E342" s="997">
        <v>3222.11</v>
      </c>
      <c r="F342" s="995" t="s">
        <v>1154</v>
      </c>
      <c r="G342" s="995" t="s">
        <v>1200</v>
      </c>
      <c r="H342" s="972"/>
      <c r="I342" s="975"/>
      <c r="J342" s="975"/>
      <c r="K342" s="975"/>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5" t="s">
        <v>1201</v>
      </c>
      <c r="B343" s="995" t="s">
        <v>2394</v>
      </c>
      <c r="C343" s="997">
        <v>562.15</v>
      </c>
      <c r="D343" s="997">
        <v>109.4</v>
      </c>
      <c r="E343" s="997">
        <v>671.55</v>
      </c>
      <c r="F343" s="995" t="s">
        <v>1154</v>
      </c>
      <c r="G343" s="995" t="s">
        <v>1202</v>
      </c>
      <c r="H343" s="972"/>
      <c r="I343" s="975"/>
      <c r="J343" s="975"/>
      <c r="K343" s="975"/>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5" t="s">
        <v>1203</v>
      </c>
      <c r="B344" s="995" t="s">
        <v>2397</v>
      </c>
      <c r="C344" s="997">
        <v>1099.24</v>
      </c>
      <c r="D344" s="997">
        <v>-1.41</v>
      </c>
      <c r="E344" s="997">
        <v>1097.83</v>
      </c>
      <c r="F344" s="995" t="s">
        <v>1154</v>
      </c>
      <c r="G344" s="995" t="s">
        <v>1204</v>
      </c>
      <c r="H344" s="972"/>
      <c r="I344" s="975"/>
      <c r="J344" s="975"/>
      <c r="K344" s="975"/>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5" t="s">
        <v>1232</v>
      </c>
      <c r="B345" s="995" t="s">
        <v>2400</v>
      </c>
      <c r="C345" s="997">
        <v>4273.12</v>
      </c>
      <c r="D345" s="997">
        <v>456.83</v>
      </c>
      <c r="E345" s="997">
        <v>4729.95</v>
      </c>
      <c r="F345" s="995" t="s">
        <v>1154</v>
      </c>
      <c r="G345" s="995" t="s">
        <v>1206</v>
      </c>
      <c r="H345" s="972"/>
      <c r="I345" s="975"/>
      <c r="J345" s="975"/>
      <c r="K345" s="975"/>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5" t="s">
        <v>1233</v>
      </c>
      <c r="B346" s="995" t="s">
        <v>3390</v>
      </c>
      <c r="C346" s="997">
        <v>13171.01</v>
      </c>
      <c r="D346" s="997">
        <v>-3375.5</v>
      </c>
      <c r="E346" s="997">
        <v>9795.51</v>
      </c>
      <c r="F346" s="995" t="s">
        <v>1154</v>
      </c>
      <c r="G346" s="995" t="s">
        <v>1234</v>
      </c>
      <c r="H346" s="972"/>
      <c r="I346" s="975"/>
      <c r="J346" s="975"/>
      <c r="K346" s="975"/>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5" t="s">
        <v>1209</v>
      </c>
      <c r="B347" s="995" t="s">
        <v>2403</v>
      </c>
      <c r="C347" s="997">
        <v>11775.24</v>
      </c>
      <c r="D347" s="997">
        <v>923.2</v>
      </c>
      <c r="E347" s="997">
        <v>12698.44</v>
      </c>
      <c r="F347" s="995" t="s">
        <v>1154</v>
      </c>
      <c r="G347" s="995" t="s">
        <v>1210</v>
      </c>
      <c r="H347" s="972"/>
      <c r="I347" s="975"/>
      <c r="J347" s="975"/>
      <c r="K347" s="975"/>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5" t="s">
        <v>1211</v>
      </c>
      <c r="B348" s="995" t="s">
        <v>2406</v>
      </c>
      <c r="C348" s="997">
        <v>5695.14</v>
      </c>
      <c r="D348" s="997">
        <v>517.74</v>
      </c>
      <c r="E348" s="997">
        <v>6212.88</v>
      </c>
      <c r="F348" s="995" t="s">
        <v>1154</v>
      </c>
      <c r="G348" s="995" t="s">
        <v>1212</v>
      </c>
      <c r="H348" s="972"/>
      <c r="I348" s="975"/>
      <c r="J348" s="975"/>
      <c r="K348" s="975"/>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5" t="s">
        <v>1235</v>
      </c>
      <c r="B349" s="995" t="s">
        <v>2412</v>
      </c>
      <c r="C349" s="997">
        <v>3339.93</v>
      </c>
      <c r="D349" s="997">
        <v>111.7</v>
      </c>
      <c r="E349" s="997">
        <v>3451.63</v>
      </c>
      <c r="F349" s="995" t="s">
        <v>1154</v>
      </c>
      <c r="G349" s="995" t="s">
        <v>1214</v>
      </c>
      <c r="H349" s="972"/>
      <c r="I349" s="975"/>
      <c r="J349" s="975"/>
      <c r="K349" s="975"/>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5" t="s">
        <v>1236</v>
      </c>
      <c r="B350" s="995" t="s">
        <v>2415</v>
      </c>
      <c r="C350" s="997">
        <v>34320</v>
      </c>
      <c r="D350" s="997">
        <v>3120</v>
      </c>
      <c r="E350" s="997">
        <v>37440</v>
      </c>
      <c r="F350" s="995" t="s">
        <v>1154</v>
      </c>
      <c r="G350" s="995" t="s">
        <v>1216</v>
      </c>
      <c r="H350" s="972"/>
      <c r="I350" s="975"/>
      <c r="J350" s="975"/>
      <c r="K350" s="975"/>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5" t="s">
        <v>1237</v>
      </c>
      <c r="B351" s="995" t="s">
        <v>2418</v>
      </c>
      <c r="C351" s="997">
        <v>5637.72</v>
      </c>
      <c r="D351" s="997">
        <v>512.52</v>
      </c>
      <c r="E351" s="997">
        <v>6150.24</v>
      </c>
      <c r="F351" s="995" t="s">
        <v>1154</v>
      </c>
      <c r="G351" s="995" t="s">
        <v>1218</v>
      </c>
      <c r="H351" s="972"/>
      <c r="I351" s="975"/>
      <c r="J351" s="975"/>
      <c r="K351" s="975"/>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5" t="s">
        <v>1238</v>
      </c>
      <c r="B352" s="995" t="s">
        <v>2421</v>
      </c>
      <c r="C352" s="997">
        <v>6507.6</v>
      </c>
      <c r="D352" s="997">
        <v>198.72</v>
      </c>
      <c r="E352" s="997">
        <v>6706.32</v>
      </c>
      <c r="F352" s="995" t="s">
        <v>1154</v>
      </c>
      <c r="G352" s="995" t="s">
        <v>1220</v>
      </c>
      <c r="H352" s="972"/>
      <c r="I352" s="975"/>
      <c r="J352" s="975"/>
      <c r="K352" s="975"/>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5" t="s">
        <v>1239</v>
      </c>
      <c r="B353" s="995" t="s">
        <v>2424</v>
      </c>
      <c r="C353" s="997">
        <v>4329.6000000000004</v>
      </c>
      <c r="D353" s="997">
        <v>393.6</v>
      </c>
      <c r="E353" s="997">
        <v>4723.2</v>
      </c>
      <c r="F353" s="995" t="s">
        <v>1154</v>
      </c>
      <c r="G353" s="995" t="s">
        <v>1222</v>
      </c>
      <c r="H353" s="972"/>
      <c r="I353" s="975"/>
      <c r="J353" s="975"/>
      <c r="K353" s="975"/>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5" t="s">
        <v>1240</v>
      </c>
      <c r="B354" s="995" t="s">
        <v>2427</v>
      </c>
      <c r="C354" s="997">
        <v>8082.8</v>
      </c>
      <c r="D354" s="997">
        <v>734.8</v>
      </c>
      <c r="E354" s="997">
        <v>8817.6</v>
      </c>
      <c r="F354" s="995" t="s">
        <v>1154</v>
      </c>
      <c r="G354" s="995" t="s">
        <v>1224</v>
      </c>
      <c r="H354" s="972"/>
      <c r="I354" s="975"/>
      <c r="J354" s="975"/>
      <c r="K354" s="975"/>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5" t="s">
        <v>1241</v>
      </c>
      <c r="B355" s="995" t="s">
        <v>2430</v>
      </c>
      <c r="C355" s="997">
        <v>31136.54</v>
      </c>
      <c r="D355" s="997">
        <v>3968.13</v>
      </c>
      <c r="E355" s="997">
        <v>35104.67</v>
      </c>
      <c r="F355" s="995" t="s">
        <v>1154</v>
      </c>
      <c r="G355" s="995" t="s">
        <v>1242</v>
      </c>
      <c r="H355" s="972"/>
      <c r="I355" s="975"/>
      <c r="J355" s="975"/>
      <c r="K355" s="975"/>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5" t="s">
        <v>1243</v>
      </c>
      <c r="B356" s="995" t="s">
        <v>2433</v>
      </c>
      <c r="C356" s="997">
        <v>701.93</v>
      </c>
      <c r="D356" s="997">
        <v>-22.28</v>
      </c>
      <c r="E356" s="997">
        <v>679.65</v>
      </c>
      <c r="F356" s="995" t="s">
        <v>1154</v>
      </c>
      <c r="G356" s="995" t="s">
        <v>1242</v>
      </c>
      <c r="H356" s="972"/>
      <c r="I356" s="975"/>
      <c r="J356" s="975"/>
      <c r="K356" s="975"/>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5" t="s">
        <v>1166</v>
      </c>
      <c r="B357" s="995" t="s">
        <v>2436</v>
      </c>
      <c r="C357" s="997">
        <v>122101.18</v>
      </c>
      <c r="D357" s="997">
        <v>10808.55</v>
      </c>
      <c r="E357" s="997">
        <v>132909.73000000001</v>
      </c>
      <c r="F357" s="995" t="s">
        <v>1154</v>
      </c>
      <c r="G357" s="995" t="s">
        <v>1167</v>
      </c>
      <c r="H357" s="972"/>
      <c r="I357" s="975"/>
      <c r="J357" s="975"/>
      <c r="K357" s="975"/>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5" t="s">
        <v>1169</v>
      </c>
      <c r="B358" s="995" t="s">
        <v>2439</v>
      </c>
      <c r="C358" s="997">
        <v>40046.239999999998</v>
      </c>
      <c r="D358" s="997">
        <v>4184.87</v>
      </c>
      <c r="E358" s="997">
        <v>44231.11</v>
      </c>
      <c r="F358" s="995" t="s">
        <v>1154</v>
      </c>
      <c r="G358" s="995" t="s">
        <v>1170</v>
      </c>
      <c r="H358" s="972"/>
      <c r="I358" s="975"/>
      <c r="J358" s="975"/>
      <c r="K358" s="975"/>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5" t="s">
        <v>1171</v>
      </c>
      <c r="B359" s="995" t="s">
        <v>2442</v>
      </c>
      <c r="C359" s="997">
        <v>108686.24</v>
      </c>
      <c r="D359" s="997">
        <v>10130.92</v>
      </c>
      <c r="E359" s="997">
        <v>118817.16</v>
      </c>
      <c r="F359" s="995" t="s">
        <v>1154</v>
      </c>
      <c r="G359" s="995" t="s">
        <v>1172</v>
      </c>
      <c r="H359" s="972"/>
      <c r="I359" s="975"/>
      <c r="J359" s="975"/>
      <c r="K359" s="975"/>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5" t="s">
        <v>1244</v>
      </c>
      <c r="B360" s="995" t="s">
        <v>2445</v>
      </c>
      <c r="C360" s="997">
        <v>86725.91</v>
      </c>
      <c r="D360" s="997">
        <v>7284.98</v>
      </c>
      <c r="E360" s="997">
        <v>94010.89</v>
      </c>
      <c r="F360" s="995" t="s">
        <v>1154</v>
      </c>
      <c r="G360" s="995" t="s">
        <v>1174</v>
      </c>
      <c r="H360" s="972"/>
      <c r="I360" s="975"/>
      <c r="J360" s="975"/>
      <c r="K360" s="975"/>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5" t="s">
        <v>1175</v>
      </c>
      <c r="B361" s="995" t="s">
        <v>2448</v>
      </c>
      <c r="C361" s="997">
        <v>222448.85</v>
      </c>
      <c r="D361" s="997">
        <v>15114.01</v>
      </c>
      <c r="E361" s="997">
        <v>237562.86</v>
      </c>
      <c r="F361" s="995" t="s">
        <v>1154</v>
      </c>
      <c r="G361" s="995" t="s">
        <v>1176</v>
      </c>
      <c r="H361" s="972"/>
      <c r="I361" s="975"/>
      <c r="J361" s="975"/>
      <c r="K361" s="975"/>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5" t="s">
        <v>1245</v>
      </c>
      <c r="B362" s="995" t="s">
        <v>2451</v>
      </c>
      <c r="C362" s="997">
        <v>320279.23</v>
      </c>
      <c r="D362" s="997">
        <v>34633.07</v>
      </c>
      <c r="E362" s="997">
        <v>354912.3</v>
      </c>
      <c r="F362" s="995" t="s">
        <v>1154</v>
      </c>
      <c r="G362" s="995" t="s">
        <v>1246</v>
      </c>
      <c r="H362" s="972"/>
      <c r="I362" s="975"/>
      <c r="J362" s="975"/>
      <c r="K362" s="975"/>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5" t="s">
        <v>1247</v>
      </c>
      <c r="B363" s="995" t="s">
        <v>2454</v>
      </c>
      <c r="C363" s="997">
        <v>168727.9</v>
      </c>
      <c r="D363" s="997">
        <v>40715.89</v>
      </c>
      <c r="E363" s="997">
        <v>209443.79</v>
      </c>
      <c r="F363" s="995" t="s">
        <v>1154</v>
      </c>
      <c r="G363" s="995" t="s">
        <v>1178</v>
      </c>
      <c r="H363" s="972"/>
      <c r="I363" s="975"/>
      <c r="J363" s="975"/>
      <c r="K363" s="975"/>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5" t="s">
        <v>1179</v>
      </c>
      <c r="B364" s="995" t="s">
        <v>2457</v>
      </c>
      <c r="C364" s="997">
        <v>50044.19</v>
      </c>
      <c r="D364" s="997">
        <v>13474.23</v>
      </c>
      <c r="E364" s="997">
        <v>63518.42</v>
      </c>
      <c r="F364" s="995" t="s">
        <v>1154</v>
      </c>
      <c r="G364" s="995" t="s">
        <v>1180</v>
      </c>
      <c r="H364" s="972"/>
      <c r="I364" s="975"/>
      <c r="J364" s="975"/>
      <c r="K364" s="975"/>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5" t="s">
        <v>1181</v>
      </c>
      <c r="B365" s="995" t="s">
        <v>2460</v>
      </c>
      <c r="C365" s="997">
        <v>178263.07</v>
      </c>
      <c r="D365" s="997">
        <v>21128.01</v>
      </c>
      <c r="E365" s="997">
        <v>199391.08</v>
      </c>
      <c r="F365" s="995" t="s">
        <v>1154</v>
      </c>
      <c r="G365" s="995" t="s">
        <v>1182</v>
      </c>
      <c r="H365" s="972"/>
      <c r="I365" s="975"/>
      <c r="J365" s="975"/>
      <c r="K365" s="975"/>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5" t="s">
        <v>1248</v>
      </c>
      <c r="B366" s="995" t="s">
        <v>2463</v>
      </c>
      <c r="C366" s="997">
        <v>3194.34</v>
      </c>
      <c r="D366" s="997">
        <v>2880.8</v>
      </c>
      <c r="E366" s="997">
        <v>6075.14</v>
      </c>
      <c r="F366" s="995" t="s">
        <v>1154</v>
      </c>
      <c r="G366" s="995" t="s">
        <v>1184</v>
      </c>
      <c r="H366" s="972"/>
      <c r="I366" s="975"/>
      <c r="J366" s="975"/>
      <c r="K366" s="975"/>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5" t="s">
        <v>1231</v>
      </c>
      <c r="B367" s="995" t="s">
        <v>2466</v>
      </c>
      <c r="C367" s="997">
        <v>60907.26</v>
      </c>
      <c r="D367" s="997">
        <v>5108.53</v>
      </c>
      <c r="E367" s="997">
        <v>66015.789999999994</v>
      </c>
      <c r="F367" s="995" t="s">
        <v>1154</v>
      </c>
      <c r="G367" s="995" t="s">
        <v>1186</v>
      </c>
      <c r="H367" s="972"/>
      <c r="I367" s="975"/>
      <c r="J367" s="975"/>
      <c r="K367" s="975"/>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5" t="s">
        <v>1249</v>
      </c>
      <c r="B368" s="995" t="s">
        <v>2472</v>
      </c>
      <c r="C368" s="997">
        <v>7526.67</v>
      </c>
      <c r="D368" s="997">
        <v>253.25</v>
      </c>
      <c r="E368" s="997">
        <v>7779.92</v>
      </c>
      <c r="F368" s="995" t="s">
        <v>1154</v>
      </c>
      <c r="G368" s="995" t="s">
        <v>1242</v>
      </c>
      <c r="H368" s="972"/>
      <c r="I368" s="975"/>
      <c r="J368" s="975"/>
      <c r="K368" s="975"/>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5" t="s">
        <v>1187</v>
      </c>
      <c r="B369" s="995" t="s">
        <v>2475</v>
      </c>
      <c r="C369" s="997">
        <v>24618.91</v>
      </c>
      <c r="D369" s="997">
        <v>3022.65</v>
      </c>
      <c r="E369" s="997">
        <v>27641.56</v>
      </c>
      <c r="F369" s="995" t="s">
        <v>1154</v>
      </c>
      <c r="G369" s="995" t="s">
        <v>1188</v>
      </c>
      <c r="H369" s="972"/>
      <c r="I369" s="975"/>
      <c r="J369" s="975"/>
      <c r="K369" s="975"/>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5" t="s">
        <v>1189</v>
      </c>
      <c r="B370" s="995" t="s">
        <v>2478</v>
      </c>
      <c r="C370" s="997">
        <v>13842.34</v>
      </c>
      <c r="D370" s="997">
        <v>852.51</v>
      </c>
      <c r="E370" s="997">
        <v>14694.85</v>
      </c>
      <c r="F370" s="995" t="s">
        <v>1154</v>
      </c>
      <c r="G370" s="995" t="s">
        <v>1190</v>
      </c>
      <c r="H370" s="972"/>
      <c r="I370" s="975"/>
      <c r="J370" s="975"/>
      <c r="K370" s="975"/>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5" t="s">
        <v>1191</v>
      </c>
      <c r="B371" s="995" t="s">
        <v>2481</v>
      </c>
      <c r="C371" s="997">
        <v>14620.18</v>
      </c>
      <c r="D371" s="997">
        <v>705.24</v>
      </c>
      <c r="E371" s="997">
        <v>15325.42</v>
      </c>
      <c r="F371" s="995" t="s">
        <v>1154</v>
      </c>
      <c r="G371" s="995" t="s">
        <v>1192</v>
      </c>
      <c r="H371" s="972"/>
      <c r="I371" s="975"/>
      <c r="J371" s="975"/>
      <c r="K371" s="975"/>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5" t="s">
        <v>1250</v>
      </c>
      <c r="B372" s="995" t="s">
        <v>2484</v>
      </c>
      <c r="C372" s="997">
        <v>147830.10999999999</v>
      </c>
      <c r="D372" s="997">
        <v>18216.68</v>
      </c>
      <c r="E372" s="997">
        <v>166046.79</v>
      </c>
      <c r="F372" s="995" t="s">
        <v>1154</v>
      </c>
      <c r="G372" s="995" t="s">
        <v>1194</v>
      </c>
      <c r="H372" s="972"/>
      <c r="I372" s="975"/>
      <c r="J372" s="975"/>
      <c r="K372" s="975"/>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5" t="s">
        <v>1195</v>
      </c>
      <c r="B373" s="995" t="s">
        <v>2487</v>
      </c>
      <c r="C373" s="997">
        <v>1179.08</v>
      </c>
      <c r="D373" s="997">
        <v>118.7</v>
      </c>
      <c r="E373" s="997">
        <v>1297.78</v>
      </c>
      <c r="F373" s="995" t="s">
        <v>1154</v>
      </c>
      <c r="G373" s="995" t="s">
        <v>1196</v>
      </c>
      <c r="H373" s="972"/>
      <c r="I373" s="975"/>
      <c r="J373" s="975"/>
      <c r="K373" s="975"/>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5" t="s">
        <v>1197</v>
      </c>
      <c r="B374" s="995" t="s">
        <v>2490</v>
      </c>
      <c r="C374" s="997">
        <v>47346.34</v>
      </c>
      <c r="D374" s="997">
        <v>3672.37</v>
      </c>
      <c r="E374" s="997">
        <v>51018.71</v>
      </c>
      <c r="F374" s="995" t="s">
        <v>1154</v>
      </c>
      <c r="G374" s="995" t="s">
        <v>1198</v>
      </c>
      <c r="H374" s="972"/>
      <c r="I374" s="975"/>
      <c r="J374" s="975"/>
      <c r="K374" s="975"/>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5" t="s">
        <v>1199</v>
      </c>
      <c r="B375" s="995" t="s">
        <v>2493</v>
      </c>
      <c r="C375" s="997">
        <v>8002.42</v>
      </c>
      <c r="D375" s="997">
        <v>706.52</v>
      </c>
      <c r="E375" s="997">
        <v>8708.94</v>
      </c>
      <c r="F375" s="995" t="s">
        <v>1154</v>
      </c>
      <c r="G375" s="995" t="s">
        <v>1200</v>
      </c>
      <c r="H375" s="972"/>
      <c r="I375" s="975"/>
      <c r="J375" s="975"/>
      <c r="K375" s="975"/>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5" t="s">
        <v>1201</v>
      </c>
      <c r="B376" s="995" t="s">
        <v>2496</v>
      </c>
      <c r="C376" s="997">
        <v>2872.32</v>
      </c>
      <c r="D376" s="997">
        <v>183.61</v>
      </c>
      <c r="E376" s="997">
        <v>3055.93</v>
      </c>
      <c r="F376" s="995" t="s">
        <v>1154</v>
      </c>
      <c r="G376" s="995" t="s">
        <v>1202</v>
      </c>
      <c r="H376" s="972"/>
      <c r="I376" s="975"/>
      <c r="J376" s="975"/>
      <c r="K376" s="975"/>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5" t="s">
        <v>1203</v>
      </c>
      <c r="B377" s="995" t="s">
        <v>2499</v>
      </c>
      <c r="C377" s="997">
        <v>2198.48</v>
      </c>
      <c r="D377" s="997">
        <v>198.38</v>
      </c>
      <c r="E377" s="997">
        <v>2396.86</v>
      </c>
      <c r="F377" s="995" t="s">
        <v>1154</v>
      </c>
      <c r="G377" s="995" t="s">
        <v>1204</v>
      </c>
      <c r="H377" s="972"/>
      <c r="I377" s="975"/>
      <c r="J377" s="975"/>
      <c r="K377" s="975"/>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5" t="s">
        <v>1251</v>
      </c>
      <c r="B378" s="995" t="s">
        <v>2502</v>
      </c>
      <c r="C378" s="997">
        <v>12345.83</v>
      </c>
      <c r="D378" s="997">
        <v>961.16</v>
      </c>
      <c r="E378" s="997">
        <v>13306.99</v>
      </c>
      <c r="F378" s="995" t="s">
        <v>1154</v>
      </c>
      <c r="G378" s="995" t="s">
        <v>1206</v>
      </c>
      <c r="H378" s="972"/>
      <c r="I378" s="975"/>
      <c r="J378" s="975"/>
      <c r="K378" s="975"/>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5" t="s">
        <v>1252</v>
      </c>
      <c r="B379" s="995" t="s">
        <v>3393</v>
      </c>
      <c r="C379" s="997">
        <v>20065.53</v>
      </c>
      <c r="D379" s="997">
        <v>1834.29</v>
      </c>
      <c r="E379" s="997">
        <v>21899.82</v>
      </c>
      <c r="F379" s="995" t="s">
        <v>1154</v>
      </c>
      <c r="G379" s="995" t="s">
        <v>1253</v>
      </c>
      <c r="H379" s="972"/>
      <c r="I379" s="975"/>
      <c r="J379" s="975"/>
      <c r="K379" s="975"/>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5" t="s">
        <v>1209</v>
      </c>
      <c r="B380" s="995" t="s">
        <v>2505</v>
      </c>
      <c r="C380" s="997">
        <v>24793.53</v>
      </c>
      <c r="D380" s="997">
        <v>2398.16</v>
      </c>
      <c r="E380" s="997">
        <v>27191.69</v>
      </c>
      <c r="F380" s="995" t="s">
        <v>1154</v>
      </c>
      <c r="G380" s="995" t="s">
        <v>1210</v>
      </c>
      <c r="H380" s="972"/>
      <c r="I380" s="975"/>
      <c r="J380" s="975"/>
      <c r="K380" s="975"/>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5" t="s">
        <v>1211</v>
      </c>
      <c r="B381" s="995" t="s">
        <v>2508</v>
      </c>
      <c r="C381" s="997">
        <v>11390.28</v>
      </c>
      <c r="D381" s="997">
        <v>1035.48</v>
      </c>
      <c r="E381" s="997">
        <v>12425.76</v>
      </c>
      <c r="F381" s="995" t="s">
        <v>1154</v>
      </c>
      <c r="G381" s="995" t="s">
        <v>1212</v>
      </c>
      <c r="H381" s="972"/>
      <c r="I381" s="975"/>
      <c r="J381" s="975"/>
      <c r="K381" s="975"/>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5" t="s">
        <v>1254</v>
      </c>
      <c r="B382" s="995" t="s">
        <v>2514</v>
      </c>
      <c r="C382" s="997">
        <v>17496.59</v>
      </c>
      <c r="D382" s="997">
        <v>1186.6300000000001</v>
      </c>
      <c r="E382" s="997">
        <v>18683.22</v>
      </c>
      <c r="F382" s="995" t="s">
        <v>1154</v>
      </c>
      <c r="G382" s="995" t="s">
        <v>1255</v>
      </c>
      <c r="H382" s="972"/>
      <c r="I382" s="975"/>
      <c r="J382" s="975"/>
      <c r="K382" s="975"/>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5" t="s">
        <v>1256</v>
      </c>
      <c r="B383" s="995" t="s">
        <v>2517</v>
      </c>
      <c r="C383" s="997">
        <v>6679.89</v>
      </c>
      <c r="D383" s="997">
        <v>223.4</v>
      </c>
      <c r="E383" s="997">
        <v>6903.29</v>
      </c>
      <c r="F383" s="995" t="s">
        <v>1154</v>
      </c>
      <c r="G383" s="995" t="s">
        <v>1214</v>
      </c>
      <c r="H383" s="972"/>
      <c r="I383" s="975"/>
      <c r="J383" s="975"/>
      <c r="K383" s="975"/>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5" t="s">
        <v>1257</v>
      </c>
      <c r="B384" s="995" t="s">
        <v>2520</v>
      </c>
      <c r="C384" s="997">
        <v>68640</v>
      </c>
      <c r="D384" s="997">
        <v>6240</v>
      </c>
      <c r="E384" s="997">
        <v>74880</v>
      </c>
      <c r="F384" s="995" t="s">
        <v>1154</v>
      </c>
      <c r="G384" s="995" t="s">
        <v>1216</v>
      </c>
      <c r="H384" s="972"/>
      <c r="I384" s="975"/>
      <c r="J384" s="975"/>
      <c r="K384" s="975"/>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5" t="s">
        <v>1258</v>
      </c>
      <c r="B385" s="995" t="s">
        <v>2523</v>
      </c>
      <c r="C385" s="997">
        <v>11275.44</v>
      </c>
      <c r="D385" s="997">
        <v>1025.04</v>
      </c>
      <c r="E385" s="997">
        <v>12300.48</v>
      </c>
      <c r="F385" s="995" t="s">
        <v>1154</v>
      </c>
      <c r="G385" s="995" t="s">
        <v>1218</v>
      </c>
      <c r="H385" s="972"/>
      <c r="I385" s="975"/>
      <c r="J385" s="975"/>
      <c r="K385" s="975"/>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5" t="s">
        <v>1259</v>
      </c>
      <c r="B386" s="995" t="s">
        <v>2526</v>
      </c>
      <c r="C386" s="997">
        <v>13015.2</v>
      </c>
      <c r="D386" s="997">
        <v>397.45</v>
      </c>
      <c r="E386" s="997">
        <v>13412.65</v>
      </c>
      <c r="F386" s="995" t="s">
        <v>1154</v>
      </c>
      <c r="G386" s="995" t="s">
        <v>1220</v>
      </c>
      <c r="H386" s="972"/>
      <c r="I386" s="975"/>
      <c r="J386" s="975"/>
      <c r="K386" s="975"/>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5" t="s">
        <v>1260</v>
      </c>
      <c r="B387" s="995" t="s">
        <v>2529</v>
      </c>
      <c r="C387" s="997">
        <v>8659.2000000000007</v>
      </c>
      <c r="D387" s="997">
        <v>787.2</v>
      </c>
      <c r="E387" s="997">
        <v>9446.4</v>
      </c>
      <c r="F387" s="995" t="s">
        <v>1154</v>
      </c>
      <c r="G387" s="995" t="s">
        <v>1222</v>
      </c>
      <c r="H387" s="972"/>
      <c r="I387" s="975"/>
      <c r="J387" s="975"/>
      <c r="K387" s="975"/>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5" t="s">
        <v>1261</v>
      </c>
      <c r="B388" s="995" t="s">
        <v>2532</v>
      </c>
      <c r="C388" s="997">
        <v>16409.599999999999</v>
      </c>
      <c r="D388" s="997">
        <v>1469.6</v>
      </c>
      <c r="E388" s="997">
        <v>17879.2</v>
      </c>
      <c r="F388" s="995" t="s">
        <v>1154</v>
      </c>
      <c r="G388" s="995" t="s">
        <v>1224</v>
      </c>
      <c r="H388" s="972"/>
      <c r="I388" s="975"/>
      <c r="J388" s="975"/>
      <c r="K388" s="975"/>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5" t="s">
        <v>1262</v>
      </c>
      <c r="B389" s="995" t="s">
        <v>3395</v>
      </c>
      <c r="C389" s="997">
        <v>326.92</v>
      </c>
      <c r="D389" s="997">
        <v>0</v>
      </c>
      <c r="E389" s="997">
        <v>326.92</v>
      </c>
      <c r="F389" s="995" t="s">
        <v>1154</v>
      </c>
      <c r="G389" s="995" t="s">
        <v>1263</v>
      </c>
      <c r="H389" s="972"/>
      <c r="I389" s="975"/>
      <c r="J389" s="975"/>
      <c r="K389" s="975"/>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5" t="s">
        <v>1158</v>
      </c>
      <c r="B390" s="995" t="s">
        <v>2535</v>
      </c>
      <c r="C390" s="997">
        <v>4867.87</v>
      </c>
      <c r="D390" s="997">
        <v>1987.13</v>
      </c>
      <c r="E390" s="997">
        <v>6855</v>
      </c>
      <c r="F390" s="995" t="s">
        <v>1154</v>
      </c>
      <c r="G390" s="995" t="s">
        <v>1242</v>
      </c>
      <c r="H390" s="972"/>
      <c r="I390" s="975"/>
      <c r="J390" s="975"/>
      <c r="K390" s="975"/>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5" t="s">
        <v>1166</v>
      </c>
      <c r="B391" s="995" t="s">
        <v>2541</v>
      </c>
      <c r="C391" s="997">
        <v>264.8</v>
      </c>
      <c r="D391" s="997">
        <v>0.09</v>
      </c>
      <c r="E391" s="997">
        <v>264.89</v>
      </c>
      <c r="F391" s="995" t="s">
        <v>1154</v>
      </c>
      <c r="G391" s="995" t="s">
        <v>1167</v>
      </c>
      <c r="H391" s="972"/>
      <c r="I391" s="975"/>
      <c r="J391" s="975"/>
      <c r="K391" s="975"/>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5" t="s">
        <v>1169</v>
      </c>
      <c r="B392" s="995" t="s">
        <v>2547</v>
      </c>
      <c r="C392" s="997">
        <v>4449.6899999999996</v>
      </c>
      <c r="D392" s="997">
        <v>464.99</v>
      </c>
      <c r="E392" s="997">
        <v>4914.68</v>
      </c>
      <c r="F392" s="995" t="s">
        <v>1154</v>
      </c>
      <c r="G392" s="995" t="s">
        <v>1170</v>
      </c>
      <c r="H392" s="972"/>
      <c r="I392" s="975"/>
      <c r="J392" s="975"/>
      <c r="K392" s="975"/>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5" t="s">
        <v>1171</v>
      </c>
      <c r="B393" s="995" t="s">
        <v>2550</v>
      </c>
      <c r="C393" s="997">
        <v>10420.68</v>
      </c>
      <c r="D393" s="997">
        <v>901.88</v>
      </c>
      <c r="E393" s="997">
        <v>11322.56</v>
      </c>
      <c r="F393" s="995" t="s">
        <v>1154</v>
      </c>
      <c r="G393" s="995" t="s">
        <v>1172</v>
      </c>
      <c r="H393" s="972"/>
      <c r="I393" s="975"/>
      <c r="J393" s="975"/>
      <c r="K393" s="975"/>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5" t="s">
        <v>1244</v>
      </c>
      <c r="B394" s="995" t="s">
        <v>2553</v>
      </c>
      <c r="C394" s="997">
        <v>4751.8599999999997</v>
      </c>
      <c r="D394" s="997">
        <v>1093.06</v>
      </c>
      <c r="E394" s="997">
        <v>5844.92</v>
      </c>
      <c r="F394" s="995" t="s">
        <v>1154</v>
      </c>
      <c r="G394" s="995" t="s">
        <v>1174</v>
      </c>
      <c r="H394" s="972"/>
      <c r="I394" s="975"/>
      <c r="J394" s="975"/>
      <c r="K394" s="975"/>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5" t="s">
        <v>1175</v>
      </c>
      <c r="B395" s="995" t="s">
        <v>2556</v>
      </c>
      <c r="C395" s="997">
        <v>4798.2</v>
      </c>
      <c r="D395" s="997">
        <v>0.83</v>
      </c>
      <c r="E395" s="997">
        <v>4799.03</v>
      </c>
      <c r="F395" s="995" t="s">
        <v>1154</v>
      </c>
      <c r="G395" s="995" t="s">
        <v>1176</v>
      </c>
      <c r="H395" s="972"/>
      <c r="I395" s="975"/>
      <c r="J395" s="975"/>
      <c r="K395" s="975"/>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5" t="s">
        <v>1245</v>
      </c>
      <c r="B396" s="995" t="s">
        <v>2559</v>
      </c>
      <c r="C396" s="997">
        <v>43101.17</v>
      </c>
      <c r="D396" s="997">
        <v>1713.86</v>
      </c>
      <c r="E396" s="997">
        <v>44815.03</v>
      </c>
      <c r="F396" s="995" t="s">
        <v>1154</v>
      </c>
      <c r="G396" s="995" t="s">
        <v>1246</v>
      </c>
      <c r="H396" s="972"/>
      <c r="I396" s="975"/>
      <c r="J396" s="975"/>
      <c r="K396" s="975"/>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5" t="s">
        <v>1229</v>
      </c>
      <c r="B397" s="995" t="s">
        <v>2562</v>
      </c>
      <c r="C397" s="997">
        <v>7570.51</v>
      </c>
      <c r="D397" s="997">
        <v>1911.82</v>
      </c>
      <c r="E397" s="997">
        <v>9482.33</v>
      </c>
      <c r="F397" s="995" t="s">
        <v>1154</v>
      </c>
      <c r="G397" s="995" t="s">
        <v>1178</v>
      </c>
      <c r="H397" s="972"/>
      <c r="I397" s="975"/>
      <c r="J397" s="975"/>
      <c r="K397" s="975"/>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5" t="s">
        <v>1179</v>
      </c>
      <c r="B398" s="995" t="s">
        <v>2565</v>
      </c>
      <c r="C398" s="997">
        <v>3076.99</v>
      </c>
      <c r="D398" s="997">
        <v>792.61</v>
      </c>
      <c r="E398" s="997">
        <v>3869.6</v>
      </c>
      <c r="F398" s="995" t="s">
        <v>1154</v>
      </c>
      <c r="G398" s="995" t="s">
        <v>1180</v>
      </c>
      <c r="H398" s="972"/>
      <c r="I398" s="975"/>
      <c r="J398" s="975"/>
      <c r="K398" s="975"/>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5" t="s">
        <v>1181</v>
      </c>
      <c r="B399" s="995" t="s">
        <v>2568</v>
      </c>
      <c r="C399" s="997">
        <v>17061.650000000001</v>
      </c>
      <c r="D399" s="997">
        <v>3312.66</v>
      </c>
      <c r="E399" s="997">
        <v>20374.310000000001</v>
      </c>
      <c r="F399" s="995" t="s">
        <v>1154</v>
      </c>
      <c r="G399" s="995" t="s">
        <v>1182</v>
      </c>
      <c r="H399" s="972"/>
      <c r="I399" s="975"/>
      <c r="J399" s="975"/>
      <c r="K399" s="975"/>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5" t="s">
        <v>1264</v>
      </c>
      <c r="B400" s="995" t="s">
        <v>3396</v>
      </c>
      <c r="C400" s="997">
        <v>0</v>
      </c>
      <c r="D400" s="997">
        <v>69.39</v>
      </c>
      <c r="E400" s="997">
        <v>69.39</v>
      </c>
      <c r="F400" s="995" t="s">
        <v>1154</v>
      </c>
      <c r="G400" s="995" t="s">
        <v>1184</v>
      </c>
      <c r="H400" s="972"/>
      <c r="I400" s="975"/>
      <c r="J400" s="975"/>
      <c r="K400" s="975"/>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5" t="s">
        <v>1231</v>
      </c>
      <c r="B401" s="995" t="s">
        <v>2571</v>
      </c>
      <c r="C401" s="997">
        <v>13891.64</v>
      </c>
      <c r="D401" s="997">
        <v>967.02</v>
      </c>
      <c r="E401" s="997">
        <v>14858.66</v>
      </c>
      <c r="F401" s="995" t="s">
        <v>1154</v>
      </c>
      <c r="G401" s="995" t="s">
        <v>1186</v>
      </c>
      <c r="H401" s="972"/>
      <c r="I401" s="975"/>
      <c r="J401" s="975"/>
      <c r="K401" s="975"/>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5" t="s">
        <v>1187</v>
      </c>
      <c r="B402" s="995" t="s">
        <v>2577</v>
      </c>
      <c r="C402" s="997">
        <v>71.010000000000005</v>
      </c>
      <c r="D402" s="997">
        <v>0</v>
      </c>
      <c r="E402" s="997">
        <v>71.010000000000005</v>
      </c>
      <c r="F402" s="995" t="s">
        <v>1154</v>
      </c>
      <c r="G402" s="995" t="s">
        <v>1188</v>
      </c>
      <c r="H402" s="972"/>
      <c r="I402" s="975"/>
      <c r="J402" s="975"/>
      <c r="K402" s="975"/>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5" t="s">
        <v>1191</v>
      </c>
      <c r="B403" s="995" t="s">
        <v>2583</v>
      </c>
      <c r="C403" s="997">
        <v>645.66999999999996</v>
      </c>
      <c r="D403" s="997">
        <v>151.47</v>
      </c>
      <c r="E403" s="997">
        <v>797.14</v>
      </c>
      <c r="F403" s="995" t="s">
        <v>1154</v>
      </c>
      <c r="G403" s="995" t="s">
        <v>1192</v>
      </c>
      <c r="H403" s="972"/>
      <c r="I403" s="975"/>
      <c r="J403" s="975"/>
      <c r="K403" s="975"/>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5" t="s">
        <v>1193</v>
      </c>
      <c r="B404" s="995" t="s">
        <v>2586</v>
      </c>
      <c r="C404" s="997">
        <v>5989.78</v>
      </c>
      <c r="D404" s="997">
        <v>1413.08</v>
      </c>
      <c r="E404" s="997">
        <v>7402.86</v>
      </c>
      <c r="F404" s="995" t="s">
        <v>1154</v>
      </c>
      <c r="G404" s="995" t="s">
        <v>1194</v>
      </c>
      <c r="H404" s="972"/>
      <c r="I404" s="975"/>
      <c r="J404" s="975"/>
      <c r="K404" s="975"/>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5" t="s">
        <v>1195</v>
      </c>
      <c r="B405" s="995" t="s">
        <v>2589</v>
      </c>
      <c r="C405" s="997">
        <v>343.91</v>
      </c>
      <c r="D405" s="997">
        <v>34.619999999999997</v>
      </c>
      <c r="E405" s="997">
        <v>378.53</v>
      </c>
      <c r="F405" s="995" t="s">
        <v>1154</v>
      </c>
      <c r="G405" s="995" t="s">
        <v>1196</v>
      </c>
      <c r="H405" s="972"/>
      <c r="I405" s="975"/>
      <c r="J405" s="975"/>
      <c r="K405" s="975"/>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5" t="s">
        <v>1197</v>
      </c>
      <c r="B406" s="995" t="s">
        <v>2594</v>
      </c>
      <c r="C406" s="997">
        <v>15576.16</v>
      </c>
      <c r="D406" s="997">
        <v>1539.65</v>
      </c>
      <c r="E406" s="997">
        <v>17115.810000000001</v>
      </c>
      <c r="F406" s="995" t="s">
        <v>1154</v>
      </c>
      <c r="G406" s="995" t="s">
        <v>1198</v>
      </c>
      <c r="H406" s="972"/>
      <c r="I406" s="975"/>
      <c r="J406" s="975"/>
      <c r="K406" s="975"/>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5" t="s">
        <v>1199</v>
      </c>
      <c r="B407" s="995" t="s">
        <v>2597</v>
      </c>
      <c r="C407" s="997">
        <v>1673.49</v>
      </c>
      <c r="D407" s="997">
        <v>206.08</v>
      </c>
      <c r="E407" s="997">
        <v>1879.57</v>
      </c>
      <c r="F407" s="995" t="s">
        <v>1154</v>
      </c>
      <c r="G407" s="995" t="s">
        <v>1200</v>
      </c>
      <c r="H407" s="972"/>
      <c r="I407" s="975"/>
      <c r="J407" s="975"/>
      <c r="K407" s="975"/>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5" t="s">
        <v>1201</v>
      </c>
      <c r="B408" s="995" t="s">
        <v>2600</v>
      </c>
      <c r="C408" s="997">
        <v>532.5</v>
      </c>
      <c r="D408" s="997">
        <v>22.77</v>
      </c>
      <c r="E408" s="997">
        <v>555.27</v>
      </c>
      <c r="F408" s="995" t="s">
        <v>1154</v>
      </c>
      <c r="G408" s="995" t="s">
        <v>1202</v>
      </c>
      <c r="H408" s="972"/>
      <c r="I408" s="975"/>
      <c r="J408" s="975"/>
      <c r="K408" s="975"/>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5" t="s">
        <v>1203</v>
      </c>
      <c r="B409" s="995" t="s">
        <v>2603</v>
      </c>
      <c r="C409" s="997">
        <v>641.25</v>
      </c>
      <c r="D409" s="997">
        <v>-0.82</v>
      </c>
      <c r="E409" s="997">
        <v>640.42999999999995</v>
      </c>
      <c r="F409" s="995" t="s">
        <v>1154</v>
      </c>
      <c r="G409" s="995" t="s">
        <v>1204</v>
      </c>
      <c r="H409" s="972"/>
      <c r="I409" s="975"/>
      <c r="J409" s="975"/>
      <c r="K409" s="975"/>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5" t="s">
        <v>1265</v>
      </c>
      <c r="B410" s="995" t="s">
        <v>2606</v>
      </c>
      <c r="C410" s="997">
        <v>2093.86</v>
      </c>
      <c r="D410" s="997">
        <v>163.26</v>
      </c>
      <c r="E410" s="997">
        <v>2257.12</v>
      </c>
      <c r="F410" s="995" t="s">
        <v>1154</v>
      </c>
      <c r="G410" s="995" t="s">
        <v>1206</v>
      </c>
      <c r="H410" s="972"/>
      <c r="I410" s="975"/>
      <c r="J410" s="975"/>
      <c r="K410" s="975"/>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5" t="s">
        <v>1266</v>
      </c>
      <c r="B411" s="995" t="s">
        <v>3397</v>
      </c>
      <c r="C411" s="997">
        <v>2205.9699999999998</v>
      </c>
      <c r="D411" s="997">
        <v>203.8</v>
      </c>
      <c r="E411" s="997">
        <v>2409.77</v>
      </c>
      <c r="F411" s="995" t="s">
        <v>1154</v>
      </c>
      <c r="G411" s="995" t="s">
        <v>1267</v>
      </c>
      <c r="H411" s="972"/>
      <c r="I411" s="975"/>
      <c r="J411" s="975"/>
      <c r="K411" s="975"/>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5" t="s">
        <v>1209</v>
      </c>
      <c r="B412" s="995" t="s">
        <v>2609</v>
      </c>
      <c r="C412" s="997">
        <v>6593.62</v>
      </c>
      <c r="D412" s="997">
        <v>538.54999999999995</v>
      </c>
      <c r="E412" s="997">
        <v>7132.17</v>
      </c>
      <c r="F412" s="995" t="s">
        <v>1154</v>
      </c>
      <c r="G412" s="995" t="s">
        <v>1210</v>
      </c>
      <c r="H412" s="972"/>
      <c r="I412" s="975"/>
      <c r="J412" s="975"/>
      <c r="K412" s="975"/>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5" t="s">
        <v>1211</v>
      </c>
      <c r="B413" s="995" t="s">
        <v>2611</v>
      </c>
      <c r="C413" s="997">
        <v>3322.22</v>
      </c>
      <c r="D413" s="997">
        <v>302.02</v>
      </c>
      <c r="E413" s="997">
        <v>3624.24</v>
      </c>
      <c r="F413" s="995" t="s">
        <v>1154</v>
      </c>
      <c r="G413" s="995" t="s">
        <v>1212</v>
      </c>
      <c r="H413" s="972"/>
      <c r="I413" s="975"/>
      <c r="J413" s="975"/>
      <c r="K413" s="975"/>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5" t="s">
        <v>1268</v>
      </c>
      <c r="B414" s="995" t="s">
        <v>2620</v>
      </c>
      <c r="C414" s="997">
        <v>1948.32</v>
      </c>
      <c r="D414" s="997">
        <v>65.17</v>
      </c>
      <c r="E414" s="997">
        <v>2013.49</v>
      </c>
      <c r="F414" s="995" t="s">
        <v>1154</v>
      </c>
      <c r="G414" s="995" t="s">
        <v>1214</v>
      </c>
      <c r="H414" s="972"/>
      <c r="I414" s="975"/>
      <c r="J414" s="975"/>
      <c r="K414" s="975"/>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5" t="s">
        <v>1269</v>
      </c>
      <c r="B415" s="995" t="s">
        <v>2623</v>
      </c>
      <c r="C415" s="997">
        <v>20020</v>
      </c>
      <c r="D415" s="997">
        <v>1820</v>
      </c>
      <c r="E415" s="997">
        <v>21840</v>
      </c>
      <c r="F415" s="995" t="s">
        <v>1154</v>
      </c>
      <c r="G415" s="995" t="s">
        <v>1216</v>
      </c>
      <c r="H415" s="972"/>
      <c r="I415" s="975"/>
      <c r="J415" s="975"/>
      <c r="K415" s="975"/>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5" t="s">
        <v>1270</v>
      </c>
      <c r="B416" s="995" t="s">
        <v>2625</v>
      </c>
      <c r="C416" s="997">
        <v>3288.67</v>
      </c>
      <c r="D416" s="997">
        <v>298.97000000000003</v>
      </c>
      <c r="E416" s="997">
        <v>3587.64</v>
      </c>
      <c r="F416" s="995" t="s">
        <v>1154</v>
      </c>
      <c r="G416" s="995" t="s">
        <v>1218</v>
      </c>
      <c r="H416" s="972"/>
      <c r="I416" s="975"/>
      <c r="J416" s="975"/>
      <c r="K416" s="975"/>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5" t="s">
        <v>1271</v>
      </c>
      <c r="B417" s="995" t="s">
        <v>2627</v>
      </c>
      <c r="C417" s="997">
        <v>3796.1</v>
      </c>
      <c r="D417" s="997">
        <v>115.92</v>
      </c>
      <c r="E417" s="997">
        <v>3912.02</v>
      </c>
      <c r="F417" s="995" t="s">
        <v>1154</v>
      </c>
      <c r="G417" s="995" t="s">
        <v>1220</v>
      </c>
      <c r="H417" s="970"/>
      <c r="I417" s="970"/>
      <c r="J417" s="970"/>
      <c r="K417" s="970"/>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5" t="s">
        <v>1272</v>
      </c>
      <c r="B418" s="995" t="s">
        <v>2630</v>
      </c>
      <c r="C418" s="997">
        <v>2525.6</v>
      </c>
      <c r="D418" s="997">
        <v>229.6</v>
      </c>
      <c r="E418" s="997">
        <v>2755.2</v>
      </c>
      <c r="F418" s="995" t="s">
        <v>1154</v>
      </c>
      <c r="G418" s="995" t="s">
        <v>1222</v>
      </c>
      <c r="H418" s="970"/>
      <c r="I418" s="970"/>
      <c r="J418" s="970"/>
      <c r="K418" s="970"/>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5" t="s">
        <v>1273</v>
      </c>
      <c r="B419" s="995" t="s">
        <v>2632</v>
      </c>
      <c r="C419" s="997">
        <v>4714.93</v>
      </c>
      <c r="D419" s="997">
        <v>428.63</v>
      </c>
      <c r="E419" s="997">
        <v>5143.5600000000004</v>
      </c>
      <c r="F419" s="995" t="s">
        <v>1154</v>
      </c>
      <c r="G419" s="995" t="s">
        <v>1224</v>
      </c>
      <c r="H419" s="970"/>
      <c r="I419" s="970"/>
      <c r="J419" s="970"/>
      <c r="K419" s="970"/>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5" t="s">
        <v>1158</v>
      </c>
      <c r="B420" s="995" t="s">
        <v>2647</v>
      </c>
      <c r="C420" s="997">
        <v>15698.2</v>
      </c>
      <c r="D420" s="997">
        <v>1541.8</v>
      </c>
      <c r="E420" s="997">
        <v>17240</v>
      </c>
      <c r="F420" s="995" t="s">
        <v>1154</v>
      </c>
      <c r="G420" s="995" t="s">
        <v>1242</v>
      </c>
      <c r="H420" s="970"/>
      <c r="I420" s="970"/>
      <c r="J420" s="970"/>
      <c r="K420" s="970"/>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5" t="s">
        <v>1166</v>
      </c>
      <c r="B421" s="995" t="s">
        <v>2653</v>
      </c>
      <c r="C421" s="997">
        <v>40647.550000000003</v>
      </c>
      <c r="D421" s="997">
        <v>3055.88</v>
      </c>
      <c r="E421" s="997">
        <v>43703.43</v>
      </c>
      <c r="F421" s="995" t="s">
        <v>1154</v>
      </c>
      <c r="G421" s="995" t="s">
        <v>1167</v>
      </c>
      <c r="H421" s="970"/>
      <c r="I421" s="970"/>
      <c r="J421" s="970"/>
      <c r="K421" s="970"/>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5" t="s">
        <v>1274</v>
      </c>
      <c r="B422" s="995" t="s">
        <v>2656</v>
      </c>
      <c r="C422" s="997">
        <v>35596.42</v>
      </c>
      <c r="D422" s="997">
        <v>3719.89</v>
      </c>
      <c r="E422" s="997">
        <v>39316.31</v>
      </c>
      <c r="F422" s="995" t="s">
        <v>1154</v>
      </c>
      <c r="G422" s="995" t="s">
        <v>1170</v>
      </c>
      <c r="H422" s="970"/>
      <c r="I422" s="970"/>
      <c r="J422" s="970"/>
      <c r="K422" s="970"/>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5" t="s">
        <v>1171</v>
      </c>
      <c r="B423" s="995" t="s">
        <v>2659</v>
      </c>
      <c r="C423" s="997">
        <v>49956</v>
      </c>
      <c r="D423" s="997">
        <v>5362.67</v>
      </c>
      <c r="E423" s="997">
        <v>55318.67</v>
      </c>
      <c r="F423" s="995" t="s">
        <v>1154</v>
      </c>
      <c r="G423" s="995" t="s">
        <v>1172</v>
      </c>
      <c r="H423" s="970"/>
      <c r="I423" s="970"/>
      <c r="J423" s="970"/>
      <c r="K423" s="970"/>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5" t="s">
        <v>1173</v>
      </c>
      <c r="B424" s="995" t="s">
        <v>2662</v>
      </c>
      <c r="C424" s="997">
        <v>38014.53</v>
      </c>
      <c r="D424" s="997">
        <v>10289.719999999999</v>
      </c>
      <c r="E424" s="997">
        <v>48304.25</v>
      </c>
      <c r="F424" s="995" t="s">
        <v>1154</v>
      </c>
      <c r="G424" s="995" t="s">
        <v>1174</v>
      </c>
      <c r="H424" s="970"/>
      <c r="I424" s="970"/>
      <c r="J424" s="970"/>
      <c r="K424" s="970"/>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5" t="s">
        <v>1175</v>
      </c>
      <c r="B425" s="995" t="s">
        <v>2665</v>
      </c>
      <c r="C425" s="997">
        <v>249777.5</v>
      </c>
      <c r="D425" s="997">
        <v>17362.310000000001</v>
      </c>
      <c r="E425" s="997">
        <v>267139.81</v>
      </c>
      <c r="F425" s="995" t="s">
        <v>1154</v>
      </c>
      <c r="G425" s="995" t="s">
        <v>1176</v>
      </c>
      <c r="H425" s="970"/>
      <c r="I425" s="971"/>
      <c r="J425" s="971"/>
      <c r="K425" s="971"/>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5" t="s">
        <v>1275</v>
      </c>
      <c r="B426" s="995" t="s">
        <v>2668</v>
      </c>
      <c r="C426" s="997">
        <v>34926.6</v>
      </c>
      <c r="D426" s="997">
        <v>7703.06</v>
      </c>
      <c r="E426" s="997">
        <v>42629.66</v>
      </c>
      <c r="F426" s="995" t="s">
        <v>1154</v>
      </c>
      <c r="G426" s="995" t="s">
        <v>1178</v>
      </c>
      <c r="H426" s="970"/>
      <c r="I426" s="971"/>
      <c r="J426" s="971"/>
      <c r="K426" s="971"/>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5" t="s">
        <v>1179</v>
      </c>
      <c r="B427" s="995" t="s">
        <v>2671</v>
      </c>
      <c r="C427" s="997">
        <v>-820.61</v>
      </c>
      <c r="D427" s="997">
        <v>-1941.53</v>
      </c>
      <c r="E427" s="997">
        <v>-2762.14</v>
      </c>
      <c r="F427" s="995" t="s">
        <v>1154</v>
      </c>
      <c r="G427" s="995" t="s">
        <v>1180</v>
      </c>
      <c r="H427" s="970"/>
      <c r="I427" s="971"/>
      <c r="J427" s="971"/>
      <c r="K427" s="971"/>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5" t="s">
        <v>1181</v>
      </c>
      <c r="B428" s="995" t="s">
        <v>2674</v>
      </c>
      <c r="C428" s="997">
        <v>71294.55</v>
      </c>
      <c r="D428" s="997">
        <v>12117.09</v>
      </c>
      <c r="E428" s="997">
        <v>83411.64</v>
      </c>
      <c r="F428" s="995" t="s">
        <v>1154</v>
      </c>
      <c r="G428" s="995" t="s">
        <v>1182</v>
      </c>
      <c r="H428" s="970"/>
      <c r="I428" s="971"/>
      <c r="J428" s="971"/>
      <c r="K428" s="971"/>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5" t="s">
        <v>1276</v>
      </c>
      <c r="B429" s="995" t="s">
        <v>2677</v>
      </c>
      <c r="C429" s="997">
        <v>564.07000000000005</v>
      </c>
      <c r="D429" s="997">
        <v>448.95</v>
      </c>
      <c r="E429" s="997">
        <v>1013.02</v>
      </c>
      <c r="F429" s="995" t="s">
        <v>1154</v>
      </c>
      <c r="G429" s="995" t="s">
        <v>1184</v>
      </c>
      <c r="H429" s="970"/>
      <c r="I429" s="971"/>
      <c r="J429" s="971"/>
      <c r="K429" s="971"/>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5" t="s">
        <v>1231</v>
      </c>
      <c r="B430" s="995" t="s">
        <v>2680</v>
      </c>
      <c r="C430" s="997">
        <v>49809.11</v>
      </c>
      <c r="D430" s="997">
        <v>3733.42</v>
      </c>
      <c r="E430" s="997">
        <v>53542.53</v>
      </c>
      <c r="F430" s="995" t="s">
        <v>1154</v>
      </c>
      <c r="G430" s="995" t="s">
        <v>1186</v>
      </c>
      <c r="H430" s="970"/>
      <c r="I430" s="971"/>
      <c r="J430" s="971"/>
      <c r="K430" s="971"/>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5" t="s">
        <v>1187</v>
      </c>
      <c r="B431" s="995" t="s">
        <v>2684</v>
      </c>
      <c r="C431" s="997">
        <v>758.35</v>
      </c>
      <c r="D431" s="997">
        <v>0</v>
      </c>
      <c r="E431" s="997">
        <v>758.35</v>
      </c>
      <c r="F431" s="995" t="s">
        <v>1154</v>
      </c>
      <c r="G431" s="995" t="s">
        <v>1188</v>
      </c>
      <c r="H431" s="970"/>
      <c r="I431" s="971"/>
      <c r="J431" s="971"/>
      <c r="K431" s="971"/>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5" t="s">
        <v>1191</v>
      </c>
      <c r="B432" s="995" t="s">
        <v>2690</v>
      </c>
      <c r="C432" s="997">
        <v>2305.92</v>
      </c>
      <c r="D432" s="997">
        <v>540.99</v>
      </c>
      <c r="E432" s="997">
        <v>2846.91</v>
      </c>
      <c r="F432" s="995" t="s">
        <v>1154</v>
      </c>
      <c r="G432" s="995" t="s">
        <v>1192</v>
      </c>
      <c r="H432" s="970"/>
      <c r="I432" s="971"/>
      <c r="J432" s="971"/>
      <c r="K432" s="971"/>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5" t="s">
        <v>1193</v>
      </c>
      <c r="B433" s="995" t="s">
        <v>2693</v>
      </c>
      <c r="C433" s="997">
        <v>4664.04</v>
      </c>
      <c r="D433" s="997">
        <v>3404.66</v>
      </c>
      <c r="E433" s="997">
        <v>8068.7</v>
      </c>
      <c r="F433" s="995" t="s">
        <v>1154</v>
      </c>
      <c r="G433" s="995" t="s">
        <v>1194</v>
      </c>
      <c r="H433" s="985"/>
      <c r="I433" s="985"/>
      <c r="J433" s="985"/>
      <c r="K433" s="985"/>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5" t="s">
        <v>1195</v>
      </c>
      <c r="B434" s="995" t="s">
        <v>2696</v>
      </c>
      <c r="C434" s="997">
        <v>-39.020000000000003</v>
      </c>
      <c r="D434" s="997">
        <v>-234.31</v>
      </c>
      <c r="E434" s="997">
        <v>-273.33</v>
      </c>
      <c r="F434" s="995" t="s">
        <v>1154</v>
      </c>
      <c r="G434" s="995" t="s">
        <v>1196</v>
      </c>
      <c r="H434" s="985"/>
      <c r="I434" s="985"/>
      <c r="J434" s="985"/>
      <c r="K434" s="985"/>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5" t="s">
        <v>1197</v>
      </c>
      <c r="B435" s="995" t="s">
        <v>2698</v>
      </c>
      <c r="C435" s="997">
        <v>42316.63</v>
      </c>
      <c r="D435" s="997">
        <v>3747.75</v>
      </c>
      <c r="E435" s="997">
        <v>46064.38</v>
      </c>
      <c r="F435" s="995" t="s">
        <v>1154</v>
      </c>
      <c r="G435" s="995" t="s">
        <v>1198</v>
      </c>
      <c r="H435" s="985"/>
      <c r="I435" s="985"/>
      <c r="J435" s="985"/>
      <c r="K435" s="985"/>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5" t="s">
        <v>1199</v>
      </c>
      <c r="B436" s="995" t="s">
        <v>2701</v>
      </c>
      <c r="C436" s="997">
        <v>7184.77</v>
      </c>
      <c r="D436" s="997">
        <v>735.94</v>
      </c>
      <c r="E436" s="997">
        <v>7920.71</v>
      </c>
      <c r="F436" s="995" t="s">
        <v>1154</v>
      </c>
      <c r="G436" s="995" t="s">
        <v>1200</v>
      </c>
      <c r="H436" s="985"/>
      <c r="I436" s="985"/>
      <c r="J436" s="985"/>
      <c r="K436" s="985"/>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5" t="s">
        <v>1201</v>
      </c>
      <c r="B437" s="995" t="s">
        <v>2704</v>
      </c>
      <c r="C437" s="997">
        <v>1024.3499999999999</v>
      </c>
      <c r="D437" s="997">
        <v>81.28</v>
      </c>
      <c r="E437" s="997">
        <v>1105.6300000000001</v>
      </c>
      <c r="F437" s="995" t="s">
        <v>1154</v>
      </c>
      <c r="G437" s="995" t="s">
        <v>1202</v>
      </c>
      <c r="H437" s="985"/>
      <c r="I437" s="985"/>
      <c r="J437" s="985"/>
      <c r="K437" s="985"/>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5" t="s">
        <v>1203</v>
      </c>
      <c r="B438" s="995" t="s">
        <v>2707</v>
      </c>
      <c r="C438" s="997">
        <v>2290.08</v>
      </c>
      <c r="D438" s="997">
        <v>-2.94</v>
      </c>
      <c r="E438" s="997">
        <v>2287.14</v>
      </c>
      <c r="F438" s="995" t="s">
        <v>1154</v>
      </c>
      <c r="G438" s="995" t="s">
        <v>1204</v>
      </c>
      <c r="H438" s="985"/>
      <c r="I438" s="985"/>
      <c r="J438" s="985"/>
      <c r="K438" s="985"/>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5" t="s">
        <v>1277</v>
      </c>
      <c r="B439" s="995" t="s">
        <v>2710</v>
      </c>
      <c r="C439" s="997">
        <v>8090.64</v>
      </c>
      <c r="D439" s="997">
        <v>746.87</v>
      </c>
      <c r="E439" s="997">
        <v>8837.51</v>
      </c>
      <c r="F439" s="995" t="s">
        <v>1154</v>
      </c>
      <c r="G439" s="995" t="s">
        <v>1206</v>
      </c>
      <c r="H439" s="985"/>
      <c r="I439" s="985"/>
      <c r="J439" s="985"/>
      <c r="K439" s="985"/>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5" t="s">
        <v>1278</v>
      </c>
      <c r="B440" s="995" t="s">
        <v>3400</v>
      </c>
      <c r="C440" s="997">
        <v>17649.330000000002</v>
      </c>
      <c r="D440" s="997">
        <v>1630.49</v>
      </c>
      <c r="E440" s="997">
        <v>19279.82</v>
      </c>
      <c r="F440" s="995" t="s">
        <v>1154</v>
      </c>
      <c r="G440" s="995" t="s">
        <v>3338</v>
      </c>
      <c r="H440" s="985"/>
      <c r="I440" s="985"/>
      <c r="J440" s="985"/>
      <c r="K440" s="985"/>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5" t="s">
        <v>1209</v>
      </c>
      <c r="B441" s="995" t="s">
        <v>2713</v>
      </c>
      <c r="C441" s="997">
        <v>102477.14</v>
      </c>
      <c r="D441" s="997">
        <v>9918.16</v>
      </c>
      <c r="E441" s="997">
        <v>112395.3</v>
      </c>
      <c r="F441" s="995" t="s">
        <v>1154</v>
      </c>
      <c r="G441" s="995" t="s">
        <v>1210</v>
      </c>
      <c r="H441" s="985"/>
      <c r="I441" s="985"/>
      <c r="J441" s="985"/>
      <c r="K441" s="985"/>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5" t="s">
        <v>1211</v>
      </c>
      <c r="B442" s="995" t="s">
        <v>2716</v>
      </c>
      <c r="C442" s="997">
        <v>11864.82</v>
      </c>
      <c r="D442" s="997">
        <v>1078.6199999999999</v>
      </c>
      <c r="E442" s="997">
        <v>12943.44</v>
      </c>
      <c r="F442" s="995" t="s">
        <v>1154</v>
      </c>
      <c r="G442" s="995" t="s">
        <v>1212</v>
      </c>
      <c r="H442" s="985"/>
      <c r="I442" s="985"/>
      <c r="J442" s="985"/>
      <c r="K442" s="985"/>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5" t="s">
        <v>1279</v>
      </c>
      <c r="B443" s="995" t="s">
        <v>2725</v>
      </c>
      <c r="C443" s="997">
        <v>6958.19</v>
      </c>
      <c r="D443" s="997">
        <v>232.71</v>
      </c>
      <c r="E443" s="997">
        <v>7190.9</v>
      </c>
      <c r="F443" s="995" t="s">
        <v>1154</v>
      </c>
      <c r="G443" s="995" t="s">
        <v>1214</v>
      </c>
      <c r="H443" s="985"/>
      <c r="I443" s="985"/>
      <c r="J443" s="985"/>
      <c r="K443" s="985"/>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5" t="s">
        <v>1280</v>
      </c>
      <c r="B444" s="995" t="s">
        <v>2728</v>
      </c>
      <c r="C444" s="997">
        <v>71500</v>
      </c>
      <c r="D444" s="997">
        <v>6500</v>
      </c>
      <c r="E444" s="997">
        <v>78000</v>
      </c>
      <c r="F444" s="995" t="s">
        <v>1154</v>
      </c>
      <c r="G444" s="995" t="s">
        <v>1216</v>
      </c>
      <c r="H444" s="985"/>
      <c r="I444" s="985"/>
      <c r="J444" s="985"/>
      <c r="K444" s="985"/>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5" t="s">
        <v>1281</v>
      </c>
      <c r="B445" s="995" t="s">
        <v>2731</v>
      </c>
      <c r="C445" s="997">
        <v>11745.25</v>
      </c>
      <c r="D445" s="997">
        <v>1067.75</v>
      </c>
      <c r="E445" s="997">
        <v>12813</v>
      </c>
      <c r="F445" s="995" t="s">
        <v>1154</v>
      </c>
      <c r="G445" s="995" t="s">
        <v>1218</v>
      </c>
      <c r="H445" s="985"/>
      <c r="I445" s="985"/>
      <c r="J445" s="985"/>
      <c r="K445" s="985"/>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5" t="s">
        <v>1282</v>
      </c>
      <c r="B446" s="995" t="s">
        <v>2734</v>
      </c>
      <c r="C446" s="997">
        <v>13557.5</v>
      </c>
      <c r="D446" s="997">
        <v>414.01</v>
      </c>
      <c r="E446" s="997">
        <v>13971.51</v>
      </c>
      <c r="F446" s="995" t="s">
        <v>1154</v>
      </c>
      <c r="G446" s="995" t="s">
        <v>1220</v>
      </c>
      <c r="H446" s="985"/>
      <c r="I446" s="985"/>
      <c r="J446" s="985"/>
      <c r="K446" s="985"/>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5" t="s">
        <v>1283</v>
      </c>
      <c r="B447" s="995" t="s">
        <v>2737</v>
      </c>
      <c r="C447" s="997">
        <v>9020</v>
      </c>
      <c r="D447" s="997">
        <v>820</v>
      </c>
      <c r="E447" s="997">
        <v>9840</v>
      </c>
      <c r="F447" s="995" t="s">
        <v>1154</v>
      </c>
      <c r="G447" s="995" t="s">
        <v>1222</v>
      </c>
      <c r="H447" s="985"/>
      <c r="I447" s="986"/>
      <c r="J447" s="986"/>
      <c r="K447" s="986"/>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5" t="s">
        <v>1284</v>
      </c>
      <c r="B448" s="995" t="s">
        <v>2740</v>
      </c>
      <c r="C448" s="997">
        <v>16839.13</v>
      </c>
      <c r="D448" s="997">
        <v>1530.83</v>
      </c>
      <c r="E448" s="997">
        <v>18369.96</v>
      </c>
      <c r="F448" s="995" t="s">
        <v>1154</v>
      </c>
      <c r="G448" s="995" t="s">
        <v>1224</v>
      </c>
      <c r="H448" s="985"/>
      <c r="I448" s="986"/>
      <c r="J448" s="986"/>
      <c r="K448" s="986"/>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5" t="s">
        <v>3681</v>
      </c>
      <c r="B449" s="995" t="s">
        <v>3402</v>
      </c>
      <c r="C449" s="997">
        <v>0</v>
      </c>
      <c r="D449" s="997">
        <v>450</v>
      </c>
      <c r="E449" s="997">
        <v>450</v>
      </c>
      <c r="F449" s="995" t="s">
        <v>1285</v>
      </c>
      <c r="G449" s="995" t="s">
        <v>1286</v>
      </c>
      <c r="H449" s="987"/>
      <c r="I449" s="987"/>
      <c r="J449" s="987"/>
      <c r="K449" s="987"/>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5" t="s">
        <v>1287</v>
      </c>
      <c r="B450" s="995" t="s">
        <v>2751</v>
      </c>
      <c r="C450" s="997">
        <v>-648421.92000000004</v>
      </c>
      <c r="D450" s="997">
        <v>-45541</v>
      </c>
      <c r="E450" s="997">
        <v>-693962.92</v>
      </c>
      <c r="F450" s="995" t="s">
        <v>1285</v>
      </c>
      <c r="G450" s="995" t="s">
        <v>1286</v>
      </c>
      <c r="H450" s="987"/>
      <c r="I450" s="987"/>
      <c r="J450" s="987"/>
      <c r="K450" s="987"/>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5" t="s">
        <v>1288</v>
      </c>
      <c r="B451" s="995" t="s">
        <v>1289</v>
      </c>
      <c r="C451" s="997">
        <v>-69988.2</v>
      </c>
      <c r="D451" s="997">
        <v>-10129.6</v>
      </c>
      <c r="E451" s="997">
        <v>-80117.8</v>
      </c>
      <c r="F451" s="995" t="s">
        <v>1285</v>
      </c>
      <c r="G451" s="995" t="s">
        <v>1289</v>
      </c>
      <c r="H451" s="987"/>
      <c r="I451" s="988"/>
      <c r="J451" s="988"/>
      <c r="K451" s="988"/>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5" t="s">
        <v>3414</v>
      </c>
      <c r="B452" s="995" t="s">
        <v>2756</v>
      </c>
      <c r="C452" s="997">
        <v>-22000</v>
      </c>
      <c r="D452" s="997">
        <v>-21300</v>
      </c>
      <c r="E452" s="997">
        <v>-43300</v>
      </c>
      <c r="F452" s="995" t="s">
        <v>1285</v>
      </c>
      <c r="G452" s="995" t="s">
        <v>3415</v>
      </c>
      <c r="H452" s="987"/>
      <c r="I452" s="988"/>
      <c r="J452" s="988"/>
      <c r="K452" s="988"/>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5" t="s">
        <v>1290</v>
      </c>
      <c r="B453" s="995" t="s">
        <v>1291</v>
      </c>
      <c r="C453" s="997">
        <v>-107648.72</v>
      </c>
      <c r="D453" s="997">
        <v>-12066.34</v>
      </c>
      <c r="E453" s="997">
        <v>-119715.06</v>
      </c>
      <c r="F453" s="995" t="s">
        <v>1285</v>
      </c>
      <c r="G453" s="995" t="s">
        <v>1291</v>
      </c>
      <c r="H453" s="987"/>
      <c r="I453" s="988"/>
      <c r="J453" s="988"/>
      <c r="K453" s="988"/>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5" t="s">
        <v>1294</v>
      </c>
      <c r="B454" s="995" t="s">
        <v>1295</v>
      </c>
      <c r="C454" s="997">
        <v>-368418.67</v>
      </c>
      <c r="D454" s="997">
        <v>-16637.84</v>
      </c>
      <c r="E454" s="997">
        <v>-385056.51</v>
      </c>
      <c r="F454" s="995" t="s">
        <v>1285</v>
      </c>
      <c r="G454" s="995" t="s">
        <v>1295</v>
      </c>
      <c r="H454" s="987"/>
      <c r="I454" s="988"/>
      <c r="J454" s="988"/>
      <c r="K454" s="988"/>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5" t="s">
        <v>1297</v>
      </c>
      <c r="B455" s="995" t="s">
        <v>2763</v>
      </c>
      <c r="C455" s="997">
        <v>-8390.2000000000007</v>
      </c>
      <c r="D455" s="997">
        <v>0</v>
      </c>
      <c r="E455" s="997">
        <v>-8390.2000000000007</v>
      </c>
      <c r="F455" s="995" t="s">
        <v>1285</v>
      </c>
      <c r="G455" s="995" t="s">
        <v>1291</v>
      </c>
      <c r="H455" s="987"/>
      <c r="I455" s="988"/>
      <c r="J455" s="988"/>
      <c r="K455" s="988"/>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5" t="s">
        <v>1298</v>
      </c>
      <c r="B456" s="995" t="s">
        <v>2766</v>
      </c>
      <c r="C456" s="997">
        <v>-18601.68</v>
      </c>
      <c r="D456" s="997">
        <v>-714.39</v>
      </c>
      <c r="E456" s="997">
        <v>-19316.07</v>
      </c>
      <c r="F456" s="995" t="s">
        <v>1285</v>
      </c>
      <c r="G456" s="995" t="s">
        <v>1295</v>
      </c>
      <c r="H456" s="987"/>
      <c r="I456" s="988"/>
      <c r="J456" s="988"/>
      <c r="K456" s="988"/>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5" t="s">
        <v>1301</v>
      </c>
      <c r="B457" s="995" t="s">
        <v>2769</v>
      </c>
      <c r="C457" s="997">
        <v>-76480</v>
      </c>
      <c r="D457" s="997">
        <v>-4668.92</v>
      </c>
      <c r="E457" s="997">
        <v>-81148.92</v>
      </c>
      <c r="F457" s="995" t="s">
        <v>1285</v>
      </c>
      <c r="G457" s="995" t="s">
        <v>1291</v>
      </c>
      <c r="H457" s="987"/>
      <c r="I457" s="988"/>
      <c r="J457" s="988"/>
      <c r="K457" s="988"/>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5" t="s">
        <v>1302</v>
      </c>
      <c r="B458" s="995" t="s">
        <v>2772</v>
      </c>
      <c r="C458" s="997">
        <v>-381089.17</v>
      </c>
      <c r="D458" s="997">
        <v>-27825.1</v>
      </c>
      <c r="E458" s="997">
        <v>-408914.27</v>
      </c>
      <c r="F458" s="995" t="s">
        <v>1285</v>
      </c>
      <c r="G458" s="995" t="s">
        <v>1291</v>
      </c>
      <c r="H458" s="987"/>
      <c r="I458" s="988"/>
      <c r="J458" s="988"/>
      <c r="K458" s="988"/>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5" t="s">
        <v>1303</v>
      </c>
      <c r="B459" s="995" t="s">
        <v>2775</v>
      </c>
      <c r="C459" s="997">
        <v>-266443.45</v>
      </c>
      <c r="D459" s="997">
        <v>-15093</v>
      </c>
      <c r="E459" s="997">
        <v>-281536.45</v>
      </c>
      <c r="F459" s="995" t="s">
        <v>1285</v>
      </c>
      <c r="G459" s="995" t="s">
        <v>1295</v>
      </c>
      <c r="H459" s="987"/>
      <c r="I459" s="988"/>
      <c r="J459" s="988"/>
      <c r="K459" s="988"/>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5" t="s">
        <v>1306</v>
      </c>
      <c r="B460" s="995" t="s">
        <v>2778</v>
      </c>
      <c r="C460" s="997">
        <v>-177166.6</v>
      </c>
      <c r="D460" s="997">
        <v>-14368.87</v>
      </c>
      <c r="E460" s="997">
        <v>-191535.47</v>
      </c>
      <c r="F460" s="995" t="s">
        <v>1285</v>
      </c>
      <c r="G460" s="995" t="s">
        <v>1295</v>
      </c>
      <c r="H460" s="987"/>
      <c r="I460" s="988"/>
      <c r="J460" s="988"/>
      <c r="K460" s="988"/>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5" t="s">
        <v>1309</v>
      </c>
      <c r="B461" s="995" t="s">
        <v>2781</v>
      </c>
      <c r="C461" s="997">
        <v>-188181</v>
      </c>
      <c r="D461" s="997">
        <v>-14304</v>
      </c>
      <c r="E461" s="997">
        <v>-202485</v>
      </c>
      <c r="F461" s="995" t="s">
        <v>1285</v>
      </c>
      <c r="G461" s="995" t="s">
        <v>1310</v>
      </c>
      <c r="H461" s="987"/>
      <c r="I461" s="988"/>
      <c r="J461" s="988"/>
      <c r="K461" s="988"/>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5" t="s">
        <v>1311</v>
      </c>
      <c r="B462" s="995" t="s">
        <v>3403</v>
      </c>
      <c r="C462" s="997">
        <v>-119413.49</v>
      </c>
      <c r="D462" s="997">
        <v>-9570</v>
      </c>
      <c r="E462" s="997">
        <v>-128983.49</v>
      </c>
      <c r="F462" s="995" t="s">
        <v>1285</v>
      </c>
      <c r="G462" s="995" t="s">
        <v>1310</v>
      </c>
      <c r="H462" s="987"/>
      <c r="I462" s="988"/>
      <c r="J462" s="988"/>
      <c r="K462" s="988"/>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5" t="s">
        <v>1312</v>
      </c>
      <c r="B463" s="995" t="s">
        <v>1310</v>
      </c>
      <c r="C463" s="997">
        <v>-274209.42</v>
      </c>
      <c r="D463" s="997">
        <v>-1498.69</v>
      </c>
      <c r="E463" s="997">
        <v>-275708.11</v>
      </c>
      <c r="F463" s="995" t="s">
        <v>1285</v>
      </c>
      <c r="G463" s="995" t="s">
        <v>1310</v>
      </c>
      <c r="H463" s="987"/>
      <c r="I463" s="988"/>
      <c r="J463" s="988"/>
      <c r="K463" s="988"/>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5" t="s">
        <v>1313</v>
      </c>
      <c r="B464" s="995" t="s">
        <v>1315</v>
      </c>
      <c r="C464" s="997">
        <v>3300</v>
      </c>
      <c r="D464" s="997">
        <v>300</v>
      </c>
      <c r="E464" s="997">
        <v>3600</v>
      </c>
      <c r="F464" s="995" t="s">
        <v>1314</v>
      </c>
      <c r="G464" s="995" t="s">
        <v>1315</v>
      </c>
      <c r="H464" s="987"/>
      <c r="I464" s="988"/>
      <c r="J464" s="988"/>
      <c r="K464" s="988"/>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5" t="s">
        <v>1316</v>
      </c>
      <c r="B465" s="995" t="s">
        <v>2791</v>
      </c>
      <c r="C465" s="997">
        <v>1394.69</v>
      </c>
      <c r="D465" s="997">
        <v>126.79</v>
      </c>
      <c r="E465" s="997">
        <v>1521.48</v>
      </c>
      <c r="F465" s="995" t="s">
        <v>1314</v>
      </c>
      <c r="G465" s="995" t="s">
        <v>1315</v>
      </c>
      <c r="H465" s="996"/>
      <c r="I465" s="996"/>
      <c r="J465" s="996"/>
      <c r="K465" s="996"/>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5" t="s">
        <v>1299</v>
      </c>
      <c r="B466" s="995" t="s">
        <v>1300</v>
      </c>
      <c r="C466" s="996"/>
      <c r="D466" s="996"/>
      <c r="E466" s="996"/>
      <c r="F466" s="995" t="s">
        <v>7</v>
      </c>
      <c r="G466" s="995" t="s">
        <v>1295</v>
      </c>
      <c r="H466" s="996"/>
      <c r="I466" s="997">
        <v>-32</v>
      </c>
      <c r="J466" s="997">
        <v>-2</v>
      </c>
      <c r="K466" s="997">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5" t="s">
        <v>1304</v>
      </c>
      <c r="B467" s="995" t="s">
        <v>1305</v>
      </c>
      <c r="C467" s="996"/>
      <c r="D467" s="996"/>
      <c r="E467" s="996"/>
      <c r="F467" s="995" t="s">
        <v>7</v>
      </c>
      <c r="G467" s="995" t="s">
        <v>1295</v>
      </c>
      <c r="H467" s="996"/>
      <c r="I467" s="997">
        <v>-192</v>
      </c>
      <c r="J467" s="997">
        <v>-12</v>
      </c>
      <c r="K467" s="997">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5" t="s">
        <v>842</v>
      </c>
      <c r="B468" s="995" t="s">
        <v>843</v>
      </c>
      <c r="C468" s="996"/>
      <c r="D468" s="996"/>
      <c r="E468" s="996"/>
      <c r="F468" s="995" t="s">
        <v>7</v>
      </c>
      <c r="G468" s="995" t="s">
        <v>841</v>
      </c>
      <c r="H468" s="996"/>
      <c r="I468" s="997">
        <v>63</v>
      </c>
      <c r="J468" s="997">
        <v>-12</v>
      </c>
      <c r="K468" s="997">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5" t="s">
        <v>849</v>
      </c>
      <c r="B469" s="995" t="s">
        <v>850</v>
      </c>
      <c r="C469" s="996"/>
      <c r="D469" s="996"/>
      <c r="E469" s="996"/>
      <c r="F469" s="995" t="s">
        <v>7</v>
      </c>
      <c r="G469" s="995" t="s">
        <v>848</v>
      </c>
      <c r="H469" s="996"/>
      <c r="I469" s="997">
        <v>111</v>
      </c>
      <c r="J469" s="997">
        <v>-16</v>
      </c>
      <c r="K469" s="997">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5" t="s">
        <v>965</v>
      </c>
      <c r="B470" s="995" t="s">
        <v>966</v>
      </c>
      <c r="C470" s="996"/>
      <c r="D470" s="996"/>
      <c r="E470" s="996"/>
      <c r="F470" s="995" t="s">
        <v>7</v>
      </c>
      <c r="G470" s="995" t="s">
        <v>964</v>
      </c>
      <c r="H470" s="996"/>
      <c r="I470" s="997">
        <v>-239</v>
      </c>
      <c r="J470" s="997">
        <v>-10</v>
      </c>
      <c r="K470" s="997">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5" t="s">
        <v>969</v>
      </c>
      <c r="B471" s="995" t="s">
        <v>970</v>
      </c>
      <c r="C471" s="996"/>
      <c r="D471" s="996"/>
      <c r="E471" s="996"/>
      <c r="F471" s="995" t="s">
        <v>7</v>
      </c>
      <c r="G471" s="995" t="s">
        <v>968</v>
      </c>
      <c r="H471" s="996"/>
      <c r="I471" s="997">
        <v>-7</v>
      </c>
      <c r="J471" s="997">
        <v>0</v>
      </c>
      <c r="K471" s="997">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5" t="s">
        <v>971</v>
      </c>
      <c r="B472" s="995" t="s">
        <v>973</v>
      </c>
      <c r="C472" s="996"/>
      <c r="D472" s="996"/>
      <c r="E472" s="996"/>
      <c r="F472" s="995" t="s">
        <v>7</v>
      </c>
      <c r="G472" s="995" t="s">
        <v>972</v>
      </c>
      <c r="H472" s="996"/>
      <c r="I472" s="997">
        <v>-53</v>
      </c>
      <c r="J472" s="997">
        <v>-7</v>
      </c>
      <c r="K472" s="997">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5" t="s">
        <v>976</v>
      </c>
      <c r="B473" s="995" t="s">
        <v>977</v>
      </c>
      <c r="C473" s="996"/>
      <c r="D473" s="996"/>
      <c r="E473" s="996"/>
      <c r="F473" s="995" t="s">
        <v>7</v>
      </c>
      <c r="G473" s="995" t="s">
        <v>978</v>
      </c>
      <c r="H473" s="996"/>
      <c r="I473" s="997">
        <v>-109</v>
      </c>
      <c r="J473" s="997">
        <v>-2</v>
      </c>
      <c r="K473" s="997">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5" t="s">
        <v>981</v>
      </c>
      <c r="B474" s="995" t="s">
        <v>982</v>
      </c>
      <c r="C474" s="996"/>
      <c r="D474" s="996"/>
      <c r="E474" s="996"/>
      <c r="F474" s="995" t="s">
        <v>7</v>
      </c>
      <c r="G474" s="995" t="s">
        <v>980</v>
      </c>
      <c r="H474" s="996"/>
      <c r="I474" s="997">
        <v>-69</v>
      </c>
      <c r="J474" s="997">
        <v>-2</v>
      </c>
      <c r="K474" s="997">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5" t="s">
        <v>984</v>
      </c>
      <c r="B475" s="995" t="s">
        <v>985</v>
      </c>
      <c r="C475" s="996"/>
      <c r="D475" s="996"/>
      <c r="E475" s="996"/>
      <c r="F475" s="995" t="s">
        <v>7</v>
      </c>
      <c r="G475" s="995" t="s">
        <v>3348</v>
      </c>
      <c r="H475" s="996"/>
      <c r="I475" s="997">
        <v>-3</v>
      </c>
      <c r="J475" s="997">
        <v>0</v>
      </c>
      <c r="K475" s="997">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5" t="s">
        <v>988</v>
      </c>
      <c r="B476" s="995" t="s">
        <v>989</v>
      </c>
      <c r="C476" s="996"/>
      <c r="D476" s="996"/>
      <c r="E476" s="996"/>
      <c r="F476" s="995" t="s">
        <v>7</v>
      </c>
      <c r="G476" s="995" t="s">
        <v>987</v>
      </c>
      <c r="H476" s="996"/>
      <c r="I476" s="997">
        <v>-19</v>
      </c>
      <c r="J476" s="997">
        <v>0</v>
      </c>
      <c r="K476" s="997">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5" t="s">
        <v>992</v>
      </c>
      <c r="B477" s="995" t="s">
        <v>993</v>
      </c>
      <c r="C477" s="996"/>
      <c r="D477" s="996"/>
      <c r="E477" s="996"/>
      <c r="F477" s="995" t="s">
        <v>7</v>
      </c>
      <c r="G477" s="995" t="s">
        <v>991</v>
      </c>
      <c r="H477" s="996"/>
      <c r="I477" s="997">
        <v>-180</v>
      </c>
      <c r="J477" s="997">
        <v>-24</v>
      </c>
      <c r="K477" s="997">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5" t="s">
        <v>996</v>
      </c>
      <c r="B478" s="995" t="s">
        <v>997</v>
      </c>
      <c r="C478" s="996"/>
      <c r="D478" s="996"/>
      <c r="E478" s="996"/>
      <c r="F478" s="995" t="s">
        <v>7</v>
      </c>
      <c r="G478" s="995" t="s">
        <v>995</v>
      </c>
      <c r="H478" s="996"/>
      <c r="I478" s="997">
        <v>-17</v>
      </c>
      <c r="J478" s="997">
        <v>0</v>
      </c>
      <c r="K478" s="997">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5" t="s">
        <v>1000</v>
      </c>
      <c r="B479" s="995" t="s">
        <v>1001</v>
      </c>
      <c r="C479" s="996"/>
      <c r="D479" s="996"/>
      <c r="E479" s="996"/>
      <c r="F479" s="995" t="s">
        <v>7</v>
      </c>
      <c r="G479" s="995" t="s">
        <v>999</v>
      </c>
      <c r="H479" s="996"/>
      <c r="I479" s="997">
        <v>-40</v>
      </c>
      <c r="J479" s="997">
        <v>-2</v>
      </c>
      <c r="K479" s="997">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5" t="s">
        <v>1004</v>
      </c>
      <c r="B480" s="995" t="s">
        <v>1005</v>
      </c>
      <c r="C480" s="996"/>
      <c r="D480" s="996"/>
      <c r="E480" s="996"/>
      <c r="F480" s="995" t="s">
        <v>7</v>
      </c>
      <c r="G480" s="995" t="s">
        <v>1003</v>
      </c>
      <c r="H480" s="996"/>
      <c r="I480" s="997">
        <v>-20</v>
      </c>
      <c r="J480" s="997">
        <v>0</v>
      </c>
      <c r="K480" s="997">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5" t="s">
        <v>1008</v>
      </c>
      <c r="B481" s="995" t="s">
        <v>1009</v>
      </c>
      <c r="C481" s="996"/>
      <c r="D481" s="996"/>
      <c r="E481" s="996"/>
      <c r="F481" s="995" t="s">
        <v>7</v>
      </c>
      <c r="G481" s="995" t="s">
        <v>1007</v>
      </c>
      <c r="H481" s="996"/>
      <c r="I481" s="997">
        <v>-346</v>
      </c>
      <c r="J481" s="997">
        <v>-24</v>
      </c>
      <c r="K481" s="997">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5" t="s">
        <v>1012</v>
      </c>
      <c r="B482" s="995" t="s">
        <v>1013</v>
      </c>
      <c r="C482" s="996"/>
      <c r="D482" s="996"/>
      <c r="E482" s="996"/>
      <c r="F482" s="995" t="s">
        <v>7</v>
      </c>
      <c r="G482" s="995" t="s">
        <v>1011</v>
      </c>
      <c r="H482" s="996"/>
      <c r="I482" s="997">
        <v>0</v>
      </c>
      <c r="J482" s="997">
        <v>-1</v>
      </c>
      <c r="K482" s="997">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5" t="s">
        <v>1016</v>
      </c>
      <c r="B483" s="995" t="s">
        <v>1017</v>
      </c>
      <c r="C483" s="996"/>
      <c r="D483" s="996"/>
      <c r="E483" s="996"/>
      <c r="F483" s="995" t="s">
        <v>7</v>
      </c>
      <c r="G483" s="995" t="s">
        <v>1015</v>
      </c>
      <c r="H483" s="996"/>
      <c r="I483" s="997">
        <v>-10</v>
      </c>
      <c r="J483" s="997">
        <v>0</v>
      </c>
      <c r="K483" s="997">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5" t="s">
        <v>1020</v>
      </c>
      <c r="B484" s="995" t="s">
        <v>1021</v>
      </c>
      <c r="C484" s="996"/>
      <c r="D484" s="996"/>
      <c r="E484" s="996"/>
      <c r="F484" s="995" t="s">
        <v>7</v>
      </c>
      <c r="G484" s="995" t="s">
        <v>1019</v>
      </c>
      <c r="H484" s="996"/>
      <c r="I484" s="997">
        <v>-324</v>
      </c>
      <c r="J484" s="997">
        <v>-31</v>
      </c>
      <c r="K484" s="997">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5" t="s">
        <v>3670</v>
      </c>
      <c r="B485" s="995" t="s">
        <v>1024</v>
      </c>
      <c r="C485" s="996"/>
      <c r="D485" s="996"/>
      <c r="E485" s="996"/>
      <c r="F485" s="995" t="s">
        <v>7</v>
      </c>
      <c r="G485" s="995" t="s">
        <v>1023</v>
      </c>
      <c r="H485" s="996"/>
      <c r="I485" s="997">
        <v>-5411</v>
      </c>
      <c r="J485" s="997">
        <v>-370</v>
      </c>
      <c r="K485" s="997">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5" t="s">
        <v>3671</v>
      </c>
      <c r="B486" s="995" t="s">
        <v>1029</v>
      </c>
      <c r="C486" s="996"/>
      <c r="D486" s="996"/>
      <c r="E486" s="996"/>
      <c r="F486" s="995" t="s">
        <v>7</v>
      </c>
      <c r="G486" s="995" t="s">
        <v>1028</v>
      </c>
      <c r="H486" s="996"/>
      <c r="I486" s="997">
        <v>-2534</v>
      </c>
      <c r="J486" s="997">
        <v>-144</v>
      </c>
      <c r="K486" s="997">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5" t="s">
        <v>3672</v>
      </c>
      <c r="B487" s="995" t="s">
        <v>1032</v>
      </c>
      <c r="C487" s="996"/>
      <c r="D487" s="996"/>
      <c r="E487" s="996"/>
      <c r="F487" s="995" t="s">
        <v>7</v>
      </c>
      <c r="G487" s="995" t="s">
        <v>1031</v>
      </c>
      <c r="H487" s="996"/>
      <c r="I487" s="997">
        <v>-2104</v>
      </c>
      <c r="J487" s="997">
        <v>-196</v>
      </c>
      <c r="K487" s="997">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5" t="s">
        <v>1033</v>
      </c>
      <c r="B488" s="995" t="s">
        <v>1035</v>
      </c>
      <c r="C488" s="996"/>
      <c r="D488" s="996"/>
      <c r="E488" s="996"/>
      <c r="F488" s="995" t="s">
        <v>7</v>
      </c>
      <c r="G488" s="995" t="s">
        <v>1034</v>
      </c>
      <c r="H488" s="996"/>
      <c r="I488" s="997">
        <v>-4088</v>
      </c>
      <c r="J488" s="997">
        <v>-291</v>
      </c>
      <c r="K488" s="997">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5" t="s">
        <v>1036</v>
      </c>
      <c r="B489" s="995" t="s">
        <v>1038</v>
      </c>
      <c r="C489" s="996"/>
      <c r="D489" s="996"/>
      <c r="E489" s="996"/>
      <c r="F489" s="995" t="s">
        <v>7</v>
      </c>
      <c r="G489" s="995" t="s">
        <v>1037</v>
      </c>
      <c r="H489" s="996"/>
      <c r="I489" s="997">
        <v>-110</v>
      </c>
      <c r="J489" s="997">
        <v>-8</v>
      </c>
      <c r="K489" s="997">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5" t="s">
        <v>1041</v>
      </c>
      <c r="B490" s="995" t="s">
        <v>1042</v>
      </c>
      <c r="C490" s="996"/>
      <c r="D490" s="996"/>
      <c r="E490" s="996"/>
      <c r="F490" s="995" t="s">
        <v>7</v>
      </c>
      <c r="G490" s="995" t="s">
        <v>1040</v>
      </c>
      <c r="H490" s="996"/>
      <c r="I490" s="997">
        <v>-30</v>
      </c>
      <c r="J490" s="997">
        <v>-4</v>
      </c>
      <c r="K490" s="997">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5" t="s">
        <v>1045</v>
      </c>
      <c r="B491" s="995" t="s">
        <v>1046</v>
      </c>
      <c r="C491" s="996"/>
      <c r="D491" s="996"/>
      <c r="E491" s="996"/>
      <c r="F491" s="995" t="s">
        <v>7</v>
      </c>
      <c r="G491" s="995" t="s">
        <v>1044</v>
      </c>
      <c r="H491" s="996"/>
      <c r="I491" s="997">
        <v>-1020</v>
      </c>
      <c r="J491" s="997">
        <v>-51</v>
      </c>
      <c r="K491" s="997">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5" t="s">
        <v>1048</v>
      </c>
      <c r="B492" s="995" t="s">
        <v>1049</v>
      </c>
      <c r="C492" s="996"/>
      <c r="D492" s="996"/>
      <c r="E492" s="996"/>
      <c r="F492" s="995" t="s">
        <v>7</v>
      </c>
      <c r="G492" s="995" t="s">
        <v>3333</v>
      </c>
      <c r="H492" s="996"/>
      <c r="I492" s="997">
        <v>-100</v>
      </c>
      <c r="J492" s="997">
        <v>0</v>
      </c>
      <c r="K492" s="997">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5" t="s">
        <v>1052</v>
      </c>
      <c r="B493" s="995" t="s">
        <v>1053</v>
      </c>
      <c r="C493" s="996"/>
      <c r="D493" s="996"/>
      <c r="E493" s="996"/>
      <c r="F493" s="995" t="s">
        <v>7</v>
      </c>
      <c r="G493" s="995" t="s">
        <v>1051</v>
      </c>
      <c r="H493" s="996"/>
      <c r="I493" s="997">
        <v>-239</v>
      </c>
      <c r="J493" s="997">
        <v>-16</v>
      </c>
      <c r="K493" s="997">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5" t="s">
        <v>1056</v>
      </c>
      <c r="B494" s="995" t="s">
        <v>1057</v>
      </c>
      <c r="C494" s="996"/>
      <c r="D494" s="996"/>
      <c r="E494" s="996"/>
      <c r="F494" s="995" t="s">
        <v>7</v>
      </c>
      <c r="G494" s="995" t="s">
        <v>1055</v>
      </c>
      <c r="H494" s="996"/>
      <c r="I494" s="997">
        <v>-277</v>
      </c>
      <c r="J494" s="997">
        <v>-17</v>
      </c>
      <c r="K494" s="997">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5" t="s">
        <v>1060</v>
      </c>
      <c r="B495" s="995" t="s">
        <v>1061</v>
      </c>
      <c r="C495" s="996"/>
      <c r="D495" s="996"/>
      <c r="E495" s="996"/>
      <c r="F495" s="995" t="s">
        <v>7</v>
      </c>
      <c r="G495" s="995" t="s">
        <v>1059</v>
      </c>
      <c r="H495" s="996"/>
      <c r="I495" s="997">
        <v>-147</v>
      </c>
      <c r="J495" s="997">
        <v>-8</v>
      </c>
      <c r="K495" s="997">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5" t="s">
        <v>3673</v>
      </c>
      <c r="B496" s="995" t="s">
        <v>1065</v>
      </c>
      <c r="C496" s="996"/>
      <c r="D496" s="996"/>
      <c r="E496" s="996"/>
      <c r="F496" s="995" t="s">
        <v>7</v>
      </c>
      <c r="G496" s="995" t="s">
        <v>1063</v>
      </c>
      <c r="H496" s="996"/>
      <c r="I496" s="997">
        <v>-5061</v>
      </c>
      <c r="J496" s="997">
        <v>-333</v>
      </c>
      <c r="K496" s="997">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5" t="s">
        <v>3674</v>
      </c>
      <c r="B497" s="995" t="s">
        <v>1071</v>
      </c>
      <c r="C497" s="996"/>
      <c r="D497" s="996"/>
      <c r="E497" s="996"/>
      <c r="F497" s="995" t="s">
        <v>7</v>
      </c>
      <c r="G497" s="995" t="s">
        <v>1069</v>
      </c>
      <c r="H497" s="996"/>
      <c r="I497" s="997">
        <v>-1417</v>
      </c>
      <c r="J497" s="997">
        <v>-99</v>
      </c>
      <c r="K497" s="997">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5" t="s">
        <v>3675</v>
      </c>
      <c r="B498" s="995" t="s">
        <v>1075</v>
      </c>
      <c r="C498" s="996"/>
      <c r="D498" s="996"/>
      <c r="E498" s="996"/>
      <c r="F498" s="995" t="s">
        <v>7</v>
      </c>
      <c r="G498" s="995" t="s">
        <v>1073</v>
      </c>
      <c r="H498" s="996"/>
      <c r="I498" s="997">
        <v>-2298</v>
      </c>
      <c r="J498" s="997">
        <v>-218</v>
      </c>
      <c r="K498" s="997">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5" t="s">
        <v>1079</v>
      </c>
      <c r="B499" s="995" t="s">
        <v>1080</v>
      </c>
      <c r="C499" s="996"/>
      <c r="D499" s="996"/>
      <c r="E499" s="996"/>
      <c r="F499" s="995" t="s">
        <v>7</v>
      </c>
      <c r="G499" s="995" t="s">
        <v>1078</v>
      </c>
      <c r="H499" s="996"/>
      <c r="I499" s="997">
        <v>-1724</v>
      </c>
      <c r="J499" s="997">
        <v>-135</v>
      </c>
      <c r="K499" s="997">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5" t="s">
        <v>1082</v>
      </c>
      <c r="B500" s="995" t="s">
        <v>1083</v>
      </c>
      <c r="C500" s="996"/>
      <c r="D500" s="996"/>
      <c r="E500" s="996"/>
      <c r="F500" s="995" t="s">
        <v>7</v>
      </c>
      <c r="G500" s="995" t="s">
        <v>1084</v>
      </c>
      <c r="H500" s="996"/>
      <c r="I500" s="997">
        <v>-2</v>
      </c>
      <c r="J500" s="997">
        <v>0</v>
      </c>
      <c r="K500" s="997">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5" t="s">
        <v>1087</v>
      </c>
      <c r="B501" s="995" t="s">
        <v>1088</v>
      </c>
      <c r="C501" s="996"/>
      <c r="D501" s="996"/>
      <c r="E501" s="996"/>
      <c r="F501" s="995" t="s">
        <v>7</v>
      </c>
      <c r="G501" s="995" t="s">
        <v>1086</v>
      </c>
      <c r="H501" s="996"/>
      <c r="I501" s="997">
        <v>-100</v>
      </c>
      <c r="J501" s="997">
        <v>-8</v>
      </c>
      <c r="K501" s="997">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5" t="s">
        <v>1091</v>
      </c>
      <c r="B502" s="995" t="s">
        <v>1092</v>
      </c>
      <c r="C502" s="996"/>
      <c r="D502" s="996"/>
      <c r="E502" s="996"/>
      <c r="F502" s="995" t="s">
        <v>7</v>
      </c>
      <c r="G502" s="995" t="s">
        <v>1090</v>
      </c>
      <c r="H502" s="996"/>
      <c r="I502" s="997">
        <v>-227</v>
      </c>
      <c r="J502" s="997">
        <v>-15</v>
      </c>
      <c r="K502" s="997">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5" t="s">
        <v>1095</v>
      </c>
      <c r="B503" s="995" t="s">
        <v>1096</v>
      </c>
      <c r="C503" s="996"/>
      <c r="D503" s="996"/>
      <c r="E503" s="996"/>
      <c r="F503" s="995" t="s">
        <v>7</v>
      </c>
      <c r="G503" s="995" t="s">
        <v>1094</v>
      </c>
      <c r="H503" s="996"/>
      <c r="I503" s="997">
        <v>-53</v>
      </c>
      <c r="J503" s="997">
        <v>-2</v>
      </c>
      <c r="K503" s="997">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5" t="s">
        <v>1099</v>
      </c>
      <c r="B504" s="995" t="s">
        <v>1100</v>
      </c>
      <c r="C504" s="996"/>
      <c r="D504" s="996"/>
      <c r="E504" s="996"/>
      <c r="F504" s="995" t="s">
        <v>7</v>
      </c>
      <c r="G504" s="995" t="s">
        <v>1098</v>
      </c>
      <c r="H504" s="996"/>
      <c r="I504" s="997">
        <v>-1831</v>
      </c>
      <c r="J504" s="997">
        <v>-153</v>
      </c>
      <c r="K504" s="997">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5" t="s">
        <v>1103</v>
      </c>
      <c r="B505" s="995" t="s">
        <v>1104</v>
      </c>
      <c r="C505" s="996"/>
      <c r="D505" s="996"/>
      <c r="E505" s="996"/>
      <c r="F505" s="995" t="s">
        <v>7</v>
      </c>
      <c r="G505" s="995" t="s">
        <v>1102</v>
      </c>
      <c r="H505" s="996"/>
      <c r="I505" s="997">
        <v>-3151</v>
      </c>
      <c r="J505" s="997">
        <v>-267</v>
      </c>
      <c r="K505" s="997">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5" t="s">
        <v>1105</v>
      </c>
      <c r="B506" s="995" t="s">
        <v>1107</v>
      </c>
      <c r="C506" s="996"/>
      <c r="D506" s="996"/>
      <c r="E506" s="996"/>
      <c r="F506" s="995" t="s">
        <v>7</v>
      </c>
      <c r="G506" s="995" t="s">
        <v>1106</v>
      </c>
      <c r="H506" s="996"/>
      <c r="I506" s="997">
        <v>-521</v>
      </c>
      <c r="J506" s="997">
        <v>-46</v>
      </c>
      <c r="K506" s="997">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5" t="s">
        <v>1292</v>
      </c>
      <c r="B507" s="995" t="s">
        <v>1293</v>
      </c>
      <c r="C507" s="996"/>
      <c r="D507" s="996"/>
      <c r="E507" s="996"/>
      <c r="F507" s="995" t="s">
        <v>7</v>
      </c>
      <c r="G507" s="995" t="s">
        <v>1291</v>
      </c>
      <c r="H507" s="996"/>
      <c r="I507" s="997">
        <v>-50</v>
      </c>
      <c r="J507" s="997">
        <v>0</v>
      </c>
      <c r="K507" s="997">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5" t="s">
        <v>1294</v>
      </c>
      <c r="B508" s="995" t="s">
        <v>1296</v>
      </c>
      <c r="C508" s="996"/>
      <c r="D508" s="996"/>
      <c r="E508" s="996"/>
      <c r="F508" s="995" t="s">
        <v>7</v>
      </c>
      <c r="G508" s="995" t="s">
        <v>1295</v>
      </c>
      <c r="H508" s="996"/>
      <c r="I508" s="997">
        <v>-233</v>
      </c>
      <c r="J508" s="997">
        <v>-11</v>
      </c>
      <c r="K508" s="997">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5" t="s">
        <v>1307</v>
      </c>
      <c r="B509" s="995" t="s">
        <v>1308</v>
      </c>
      <c r="C509" s="996"/>
      <c r="D509" s="996"/>
      <c r="E509" s="996"/>
      <c r="F509" s="995" t="s">
        <v>7</v>
      </c>
      <c r="G509" s="995" t="s">
        <v>1295</v>
      </c>
      <c r="H509" s="996"/>
      <c r="I509" s="997">
        <v>-335</v>
      </c>
      <c r="J509" s="997">
        <v>-25</v>
      </c>
      <c r="K509" s="997">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2026-03-12T20:56:39Z</cp:lastPrinted>
  <dcterms:created xsi:type="dcterms:W3CDTF">2023-01-24T17:19:21Z</dcterms:created>
  <dcterms:modified xsi:type="dcterms:W3CDTF">2026-03-12T20:56:57Z</dcterms:modified>
</cp:coreProperties>
</file>